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497" activeTab="0"/>
  </bookViews>
  <sheets>
    <sheet name="mar" sheetId="1" r:id="rId1"/>
  </sheets>
  <definedNames>
    <definedName name="_xlnm.Print_Area" localSheetId="0">'mar'!$A$1:$O$89</definedName>
    <definedName name="_xlnm.Print_Titles" localSheetId="0">'mar'!$1:$6</definedName>
  </definedNames>
  <calcPr fullCalcOnLoad="1"/>
</workbook>
</file>

<file path=xl/sharedStrings.xml><?xml version="1.0" encoding="utf-8"?>
<sst xmlns="http://schemas.openxmlformats.org/spreadsheetml/2006/main" count="94" uniqueCount="61">
  <si>
    <t>Head of Agency or Authorized Representative</t>
  </si>
  <si>
    <t>Prepared by:</t>
  </si>
  <si>
    <t>Submitted by:</t>
  </si>
  <si>
    <t>REGION X</t>
  </si>
  <si>
    <t>PARTICULARS</t>
  </si>
  <si>
    <t>ALLOTMENTS</t>
  </si>
  <si>
    <t>CUMMULATIVE OBLIGATIONS</t>
  </si>
  <si>
    <t>BALANCES</t>
  </si>
  <si>
    <t>TOTAL</t>
  </si>
  <si>
    <t>A. Current Year Appropriations</t>
  </si>
  <si>
    <t>Special Purpose Fund</t>
  </si>
  <si>
    <t>ARNEL M. AGABE, CESO IV</t>
  </si>
  <si>
    <t>Sub-Allotments from Central Office</t>
  </si>
  <si>
    <t>100000100001000 - GMS</t>
  </si>
  <si>
    <t>100000100001000 - BODBF</t>
  </si>
  <si>
    <t>Automatic Appropriations</t>
  </si>
  <si>
    <t>Strengthening of Peace &amp; Order Councils</t>
  </si>
  <si>
    <t>310200200001000 - LTIA</t>
  </si>
  <si>
    <t>310100200004000 - LG Support Fund</t>
  </si>
  <si>
    <t>Regular Approriations-Operations</t>
  </si>
  <si>
    <t>Supervision and Development of Local Gov't</t>
  </si>
  <si>
    <t xml:space="preserve">STATEMENT OF ALLOTMENTS, OBLIGATIONS AND BALANCES </t>
  </si>
  <si>
    <t>310200100001000 - PCF</t>
  </si>
  <si>
    <t>Fixed Expenditures (RLIP)</t>
  </si>
  <si>
    <t>Special Purpose Funds</t>
  </si>
  <si>
    <t>100000100001000 - GMS - Pension &amp; Gratuity</t>
  </si>
  <si>
    <t>GRAND TOTAL</t>
  </si>
  <si>
    <t>310100200004000 - SLGP</t>
  </si>
  <si>
    <t>310100200005000 -  CSO/PPP</t>
  </si>
  <si>
    <t>B. CONTINUING APPROPRIATIONS</t>
  </si>
  <si>
    <t>100000100002000 - Admin of Personnel Benefits</t>
  </si>
  <si>
    <t>200000100001000 - DPPSLGCDPO</t>
  </si>
  <si>
    <t>310100200025000 - Anti-Illegal Drugs Info System</t>
  </si>
  <si>
    <t>310100200026000 - Improve LGU Competitiveness and Ease of Doing Busniess</t>
  </si>
  <si>
    <t>100000100001000 - Contingent Fund (-CLIP)</t>
  </si>
  <si>
    <t>310100200029000 - Contingent Fund - T-Federalism</t>
  </si>
  <si>
    <t>100000100001000 - GMS/BODBF</t>
  </si>
  <si>
    <t>Miscellaneous Personnel Benefits Fund</t>
  </si>
  <si>
    <t>PS</t>
  </si>
  <si>
    <t>MOOE</t>
  </si>
  <si>
    <t>CO</t>
  </si>
  <si>
    <t>ELSID U. FAGARAGAN</t>
  </si>
  <si>
    <t>Acct II/ OIC, Budget Section</t>
  </si>
  <si>
    <t>310100200023000 - Enhancemt Brgy Info System</t>
  </si>
  <si>
    <t>310100200035000 - Support for Asst to Muns</t>
  </si>
  <si>
    <t>310100200036000 - Support for CMGP</t>
  </si>
  <si>
    <t>310100200037000 - Support for Potable Water Supply</t>
  </si>
  <si>
    <t>200000100004000 - M &amp; E Asst to Muns</t>
  </si>
  <si>
    <t>200000100005000 - M &amp; E CMGP</t>
  </si>
  <si>
    <t>200000100006000 - M &amp; E Potable Water</t>
  </si>
  <si>
    <t>310100200022000 - LGU 201 Profile System</t>
  </si>
  <si>
    <t>310100200024000 - Enhancement of PPMS</t>
  </si>
  <si>
    <t>310100200032000 - Lan,Wan &amp; IP Telephony Expansion of Reg'l Office</t>
  </si>
  <si>
    <t>310100200033000 - E CLIP</t>
  </si>
  <si>
    <t>310100200054000 - PADS</t>
  </si>
  <si>
    <t>310100200055000 - C4PEACE</t>
  </si>
  <si>
    <t>200000100006000 - M &amp; E Potable Water System</t>
  </si>
  <si>
    <t>310100200004000 - Decentralization/Federalism</t>
  </si>
  <si>
    <t xml:space="preserve">Bureau/Agency: Department of the Interior and Local Government  </t>
  </si>
  <si>
    <t>Personnel Services</t>
  </si>
  <si>
    <t>As of  March 31, 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</si>
</sst>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_(* #,##0_);_(* \(#,##0\);_(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3" fontId="3" fillId="0" borderId="0" xfId="42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vertical="center"/>
    </xf>
    <xf numFmtId="43" fontId="3" fillId="0" borderId="0" xfId="42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42" applyFont="1" applyAlignment="1">
      <alignment/>
    </xf>
    <xf numFmtId="43" fontId="6" fillId="0" borderId="0" xfId="42" applyFont="1" applyAlignment="1">
      <alignment/>
    </xf>
    <xf numFmtId="43" fontId="4" fillId="0" borderId="0" xfId="42" applyFont="1" applyFill="1" applyBorder="1" applyAlignment="1">
      <alignment horizontal="center" vertical="center"/>
    </xf>
    <xf numFmtId="43" fontId="7" fillId="0" borderId="10" xfId="0" applyNumberFormat="1" applyFont="1" applyBorder="1" applyAlignment="1">
      <alignment/>
    </xf>
    <xf numFmtId="43" fontId="7" fillId="0" borderId="11" xfId="0" applyNumberFormat="1" applyFont="1" applyBorder="1" applyAlignment="1">
      <alignment/>
    </xf>
    <xf numFmtId="43" fontId="7" fillId="0" borderId="12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43" fontId="6" fillId="0" borderId="15" xfId="0" applyNumberFormat="1" applyFont="1" applyBorder="1" applyAlignment="1">
      <alignment/>
    </xf>
    <xf numFmtId="43" fontId="6" fillId="0" borderId="16" xfId="0" applyNumberFormat="1" applyFont="1" applyBorder="1" applyAlignment="1">
      <alignment/>
    </xf>
    <xf numFmtId="43" fontId="6" fillId="0" borderId="17" xfId="0" applyNumberFormat="1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/>
    </xf>
    <xf numFmtId="43" fontId="6" fillId="0" borderId="18" xfId="42" applyFont="1" applyBorder="1" applyAlignment="1">
      <alignment/>
    </xf>
    <xf numFmtId="43" fontId="6" fillId="0" borderId="17" xfId="42" applyFont="1" applyBorder="1" applyAlignment="1">
      <alignment horizontal="center"/>
    </xf>
    <xf numFmtId="43" fontId="4" fillId="0" borderId="0" xfId="42" applyFont="1" applyFill="1" applyBorder="1" applyAlignment="1">
      <alignment vertical="center"/>
    </xf>
    <xf numFmtId="43" fontId="6" fillId="0" borderId="0" xfId="42" applyFont="1" applyBorder="1" applyAlignment="1">
      <alignment/>
    </xf>
    <xf numFmtId="43" fontId="6" fillId="0" borderId="19" xfId="42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2" fillId="0" borderId="0" xfId="42" applyFont="1" applyFill="1" applyAlignment="1">
      <alignment vertic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43" fontId="4" fillId="0" borderId="0" xfId="0" applyNumberFormat="1" applyFont="1" applyAlignment="1">
      <alignment/>
    </xf>
    <xf numFmtId="43" fontId="6" fillId="0" borderId="20" xfId="42" applyFont="1" applyBorder="1" applyAlignment="1">
      <alignment/>
    </xf>
    <xf numFmtId="43" fontId="6" fillId="0" borderId="17" xfId="42" applyFont="1" applyBorder="1" applyAlignment="1">
      <alignment/>
    </xf>
    <xf numFmtId="43" fontId="6" fillId="0" borderId="17" xfId="0" applyNumberFormat="1" applyFont="1" applyBorder="1" applyAlignment="1">
      <alignment horizontal="center"/>
    </xf>
    <xf numFmtId="43" fontId="6" fillId="0" borderId="15" xfId="42" applyFont="1" applyBorder="1" applyAlignment="1">
      <alignment/>
    </xf>
    <xf numFmtId="43" fontId="6" fillId="0" borderId="0" xfId="42" applyFont="1" applyBorder="1" applyAlignment="1">
      <alignment horizontal="center"/>
    </xf>
    <xf numFmtId="43" fontId="6" fillId="0" borderId="21" xfId="42" applyFont="1" applyBorder="1" applyAlignment="1">
      <alignment/>
    </xf>
    <xf numFmtId="43" fontId="6" fillId="0" borderId="22" xfId="42" applyFont="1" applyBorder="1" applyAlignment="1">
      <alignment/>
    </xf>
    <xf numFmtId="43" fontId="6" fillId="0" borderId="22" xfId="42" applyFont="1" applyBorder="1" applyAlignment="1">
      <alignment horizontal="center"/>
    </xf>
    <xf numFmtId="43" fontId="6" fillId="0" borderId="18" xfId="42" applyFont="1" applyBorder="1" applyAlignment="1">
      <alignment horizontal="center"/>
    </xf>
    <xf numFmtId="43" fontId="6" fillId="0" borderId="19" xfId="42" applyFont="1" applyBorder="1" applyAlignment="1">
      <alignment/>
    </xf>
    <xf numFmtId="43" fontId="7" fillId="0" borderId="12" xfId="42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indent="1"/>
    </xf>
    <xf numFmtId="43" fontId="6" fillId="0" borderId="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 horizontal="center"/>
    </xf>
    <xf numFmtId="43" fontId="2" fillId="0" borderId="0" xfId="42" applyNumberFormat="1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6" fillId="0" borderId="0" xfId="42" applyNumberFormat="1" applyFont="1" applyFill="1" applyBorder="1" applyAlignment="1">
      <alignment horizontal="center" vertical="center"/>
    </xf>
    <xf numFmtId="43" fontId="6" fillId="0" borderId="0" xfId="42" applyFont="1" applyFill="1" applyBorder="1" applyAlignment="1">
      <alignment horizontal="center" vertical="center"/>
    </xf>
    <xf numFmtId="43" fontId="4" fillId="0" borderId="0" xfId="42" applyFont="1" applyBorder="1" applyAlignment="1">
      <alignment/>
    </xf>
    <xf numFmtId="43" fontId="6" fillId="0" borderId="23" xfId="42" applyFont="1" applyBorder="1" applyAlignment="1">
      <alignment horizontal="center"/>
    </xf>
    <xf numFmtId="43" fontId="7" fillId="0" borderId="18" xfId="42" applyFont="1" applyBorder="1" applyAlignment="1">
      <alignment horizontal="center"/>
    </xf>
    <xf numFmtId="43" fontId="7" fillId="0" borderId="22" xfId="42" applyFont="1" applyBorder="1" applyAlignment="1">
      <alignment/>
    </xf>
    <xf numFmtId="43" fontId="7" fillId="0" borderId="19" xfId="42" applyFont="1" applyBorder="1" applyAlignment="1">
      <alignment horizontal="center"/>
    </xf>
    <xf numFmtId="43" fontId="6" fillId="0" borderId="24" xfId="42" applyFont="1" applyBorder="1" applyAlignment="1">
      <alignment/>
    </xf>
    <xf numFmtId="43" fontId="6" fillId="0" borderId="13" xfId="0" applyNumberFormat="1" applyFont="1" applyBorder="1" applyAlignment="1">
      <alignment horizontal="center"/>
    </xf>
    <xf numFmtId="43" fontId="7" fillId="0" borderId="15" xfId="42" applyFont="1" applyBorder="1" applyAlignment="1">
      <alignment/>
    </xf>
    <xf numFmtId="43" fontId="6" fillId="0" borderId="14" xfId="42" applyFont="1" applyBorder="1" applyAlignment="1">
      <alignment horizontal="center"/>
    </xf>
    <xf numFmtId="43" fontId="7" fillId="0" borderId="13" xfId="42" applyFont="1" applyBorder="1" applyAlignment="1">
      <alignment horizontal="center"/>
    </xf>
    <xf numFmtId="43" fontId="6" fillId="0" borderId="25" xfId="42" applyFont="1" applyBorder="1" applyAlignment="1">
      <alignment/>
    </xf>
    <xf numFmtId="43" fontId="6" fillId="0" borderId="26" xfId="42" applyFont="1" applyBorder="1" applyAlignment="1">
      <alignment/>
    </xf>
    <xf numFmtId="43" fontId="6" fillId="0" borderId="27" xfId="42" applyFont="1" applyBorder="1" applyAlignment="1">
      <alignment/>
    </xf>
    <xf numFmtId="43" fontId="7" fillId="0" borderId="10" xfId="42" applyFont="1" applyBorder="1" applyAlignment="1">
      <alignment/>
    </xf>
    <xf numFmtId="43" fontId="6" fillId="0" borderId="25" xfId="0" applyNumberFormat="1" applyFont="1" applyBorder="1" applyAlignment="1">
      <alignment/>
    </xf>
    <xf numFmtId="43" fontId="6" fillId="0" borderId="27" xfId="0" applyNumberFormat="1" applyFont="1" applyBorder="1" applyAlignment="1">
      <alignment/>
    </xf>
    <xf numFmtId="43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43" fontId="6" fillId="0" borderId="16" xfId="42" applyFont="1" applyBorder="1" applyAlignment="1">
      <alignment/>
    </xf>
    <xf numFmtId="43" fontId="6" fillId="0" borderId="28" xfId="42" applyFont="1" applyBorder="1" applyAlignment="1">
      <alignment horizontal="center"/>
    </xf>
    <xf numFmtId="43" fontId="6" fillId="0" borderId="28" xfId="42" applyFont="1" applyBorder="1" applyAlignment="1">
      <alignment/>
    </xf>
    <xf numFmtId="43" fontId="6" fillId="0" borderId="29" xfId="42" applyFont="1" applyBorder="1" applyAlignment="1">
      <alignment/>
    </xf>
    <xf numFmtId="43" fontId="6" fillId="0" borderId="29" xfId="0" applyNumberFormat="1" applyFont="1" applyBorder="1" applyAlignment="1">
      <alignment/>
    </xf>
    <xf numFmtId="43" fontId="6" fillId="0" borderId="29" xfId="42" applyFont="1" applyBorder="1" applyAlignment="1">
      <alignment horizontal="center"/>
    </xf>
    <xf numFmtId="43" fontId="6" fillId="0" borderId="30" xfId="0" applyNumberFormat="1" applyFont="1" applyBorder="1" applyAlignment="1">
      <alignment/>
    </xf>
    <xf numFmtId="43" fontId="6" fillId="0" borderId="29" xfId="0" applyNumberFormat="1" applyFont="1" applyBorder="1" applyAlignment="1">
      <alignment horizontal="center"/>
    </xf>
    <xf numFmtId="43" fontId="6" fillId="0" borderId="11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1" xfId="42" applyFont="1" applyBorder="1" applyAlignment="1">
      <alignment/>
    </xf>
    <xf numFmtId="43" fontId="6" fillId="0" borderId="12" xfId="42" applyFont="1" applyBorder="1" applyAlignment="1">
      <alignment/>
    </xf>
    <xf numFmtId="43" fontId="6" fillId="0" borderId="12" xfId="0" applyNumberFormat="1" applyFont="1" applyBorder="1" applyAlignment="1">
      <alignment/>
    </xf>
    <xf numFmtId="43" fontId="6" fillId="0" borderId="10" xfId="42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9" xfId="0" applyFont="1" applyBorder="1" applyAlignment="1" quotePrefix="1">
      <alignment/>
    </xf>
    <xf numFmtId="43" fontId="7" fillId="0" borderId="28" xfId="42" applyFont="1" applyBorder="1" applyAlignment="1">
      <alignment horizontal="center"/>
    </xf>
    <xf numFmtId="43" fontId="7" fillId="0" borderId="31" xfId="0" applyNumberFormat="1" applyFont="1" applyBorder="1" applyAlignment="1">
      <alignment/>
    </xf>
    <xf numFmtId="43" fontId="6" fillId="0" borderId="22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43" fontId="6" fillId="0" borderId="2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7" borderId="10" xfId="0" applyFont="1" applyFill="1" applyBorder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6" fillId="0" borderId="23" xfId="42" applyFont="1" applyBorder="1" applyAlignment="1">
      <alignment/>
    </xf>
    <xf numFmtId="43" fontId="6" fillId="0" borderId="23" xfId="0" applyNumberFormat="1" applyFont="1" applyBorder="1" applyAlignment="1">
      <alignment/>
    </xf>
    <xf numFmtId="43" fontId="6" fillId="0" borderId="23" xfId="0" applyNumberFormat="1" applyFont="1" applyBorder="1" applyAlignment="1">
      <alignment horizontal="center"/>
    </xf>
    <xf numFmtId="43" fontId="7" fillId="0" borderId="32" xfId="42" applyFont="1" applyBorder="1" applyAlignment="1">
      <alignment horizontal="center"/>
    </xf>
    <xf numFmtId="43" fontId="6" fillId="0" borderId="10" xfId="42" applyFont="1" applyBorder="1" applyAlignment="1">
      <alignment horizontal="center"/>
    </xf>
    <xf numFmtId="43" fontId="7" fillId="0" borderId="20" xfId="42" applyFont="1" applyBorder="1" applyAlignment="1">
      <alignment/>
    </xf>
    <xf numFmtId="43" fontId="7" fillId="0" borderId="16" xfId="42" applyFont="1" applyBorder="1" applyAlignment="1">
      <alignment horizontal="center"/>
    </xf>
    <xf numFmtId="43" fontId="6" fillId="0" borderId="33" xfId="42" applyFont="1" applyBorder="1" applyAlignment="1">
      <alignment/>
    </xf>
    <xf numFmtId="0" fontId="4" fillId="0" borderId="34" xfId="0" applyFont="1" applyBorder="1" applyAlignment="1">
      <alignment/>
    </xf>
    <xf numFmtId="0" fontId="6" fillId="0" borderId="34" xfId="0" applyFont="1" applyBorder="1" applyAlignment="1" quotePrefix="1">
      <alignment/>
    </xf>
    <xf numFmtId="0" fontId="6" fillId="0" borderId="20" xfId="0" applyFont="1" applyBorder="1" applyAlignment="1" quotePrefix="1">
      <alignment/>
    </xf>
    <xf numFmtId="0" fontId="6" fillId="0" borderId="22" xfId="0" applyFont="1" applyBorder="1" applyAlignment="1" quotePrefix="1">
      <alignment/>
    </xf>
    <xf numFmtId="0" fontId="6" fillId="0" borderId="18" xfId="0" applyFont="1" applyBorder="1" applyAlignment="1" quotePrefix="1">
      <alignment/>
    </xf>
    <xf numFmtId="0" fontId="6" fillId="0" borderId="18" xfId="0" applyFont="1" applyBorder="1" applyAlignment="1" quotePrefix="1">
      <alignment wrapText="1"/>
    </xf>
    <xf numFmtId="0" fontId="6" fillId="0" borderId="0" xfId="0" applyFont="1" applyBorder="1" applyAlignment="1" quotePrefix="1">
      <alignment/>
    </xf>
    <xf numFmtId="0" fontId="6" fillId="0" borderId="28" xfId="0" applyFont="1" applyBorder="1" applyAlignment="1" quotePrefix="1">
      <alignment/>
    </xf>
    <xf numFmtId="0" fontId="7" fillId="0" borderId="28" xfId="0" applyFont="1" applyBorder="1" applyAlignment="1" quotePrefix="1">
      <alignment/>
    </xf>
    <xf numFmtId="0" fontId="7" fillId="7" borderId="35" xfId="0" applyFont="1" applyFill="1" applyBorder="1" applyAlignment="1" quotePrefix="1">
      <alignment/>
    </xf>
    <xf numFmtId="0" fontId="7" fillId="0" borderId="12" xfId="0" applyFont="1" applyBorder="1" applyAlignment="1">
      <alignment/>
    </xf>
    <xf numFmtId="43" fontId="6" fillId="0" borderId="21" xfId="0" applyNumberFormat="1" applyFont="1" applyBorder="1" applyAlignment="1">
      <alignment/>
    </xf>
    <xf numFmtId="43" fontId="7" fillId="0" borderId="12" xfId="42" applyFont="1" applyBorder="1" applyAlignment="1">
      <alignment horizontal="center"/>
    </xf>
    <xf numFmtId="43" fontId="6" fillId="0" borderId="20" xfId="42" applyFont="1" applyBorder="1" applyAlignment="1">
      <alignment horizontal="center"/>
    </xf>
    <xf numFmtId="43" fontId="6" fillId="0" borderId="21" xfId="42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26" xfId="0" applyFont="1" applyBorder="1" applyAlignment="1" quotePrefix="1">
      <alignment/>
    </xf>
    <xf numFmtId="0" fontId="6" fillId="0" borderId="20" xfId="0" applyFont="1" applyBorder="1" applyAlignment="1">
      <alignment horizontal="left"/>
    </xf>
    <xf numFmtId="0" fontId="6" fillId="0" borderId="22" xfId="0" applyFont="1" applyBorder="1" applyAlignment="1" quotePrefix="1">
      <alignment wrapText="1"/>
    </xf>
    <xf numFmtId="0" fontId="4" fillId="0" borderId="33" xfId="0" applyFont="1" applyBorder="1" applyAlignment="1">
      <alignment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8" xfId="0" applyFont="1" applyBorder="1" applyAlignment="1">
      <alignment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7" fillId="7" borderId="39" xfId="0" applyFont="1" applyFill="1" applyBorder="1" applyAlignment="1" quotePrefix="1">
      <alignment/>
    </xf>
    <xf numFmtId="0" fontId="6" fillId="0" borderId="41" xfId="0" applyFont="1" applyBorder="1" applyAlignment="1" quotePrefix="1">
      <alignment/>
    </xf>
    <xf numFmtId="0" fontId="6" fillId="0" borderId="40" xfId="0" applyFont="1" applyBorder="1" applyAlignment="1" quotePrefix="1">
      <alignment/>
    </xf>
    <xf numFmtId="0" fontId="6" fillId="0" borderId="42" xfId="0" applyFont="1" applyBorder="1" applyAlignment="1" quotePrefix="1">
      <alignment/>
    </xf>
    <xf numFmtId="0" fontId="6" fillId="0" borderId="33" xfId="0" applyFont="1" applyBorder="1" applyAlignment="1">
      <alignment horizontal="left"/>
    </xf>
    <xf numFmtId="43" fontId="6" fillId="0" borderId="34" xfId="0" applyNumberFormat="1" applyFont="1" applyBorder="1" applyAlignment="1">
      <alignment/>
    </xf>
    <xf numFmtId="43" fontId="6" fillId="0" borderId="43" xfId="0" applyNumberFormat="1" applyFont="1" applyBorder="1" applyAlignment="1">
      <alignment/>
    </xf>
    <xf numFmtId="43" fontId="6" fillId="0" borderId="44" xfId="42" applyFont="1" applyBorder="1" applyAlignment="1">
      <alignment/>
    </xf>
    <xf numFmtId="43" fontId="6" fillId="0" borderId="34" xfId="42" applyFont="1" applyBorder="1" applyAlignment="1">
      <alignment/>
    </xf>
    <xf numFmtId="0" fontId="6" fillId="0" borderId="43" xfId="0" applyFont="1" applyBorder="1" applyAlignment="1">
      <alignment horizontal="center"/>
    </xf>
    <xf numFmtId="43" fontId="6" fillId="0" borderId="44" xfId="0" applyNumberFormat="1" applyFont="1" applyBorder="1" applyAlignment="1">
      <alignment/>
    </xf>
    <xf numFmtId="43" fontId="6" fillId="0" borderId="43" xfId="42" applyFont="1" applyBorder="1" applyAlignment="1">
      <alignment/>
    </xf>
    <xf numFmtId="0" fontId="6" fillId="0" borderId="34" xfId="0" applyFont="1" applyBorder="1" applyAlignment="1">
      <alignment horizontal="left"/>
    </xf>
    <xf numFmtId="0" fontId="6" fillId="0" borderId="44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5" xfId="0" applyFont="1" applyBorder="1" applyAlignment="1" quotePrefix="1">
      <alignment/>
    </xf>
    <xf numFmtId="0" fontId="6" fillId="0" borderId="44" xfId="0" applyFont="1" applyBorder="1" applyAlignment="1" quotePrefix="1">
      <alignment/>
    </xf>
    <xf numFmtId="0" fontId="6" fillId="0" borderId="23" xfId="0" applyFont="1" applyBorder="1" applyAlignment="1">
      <alignment horizontal="center"/>
    </xf>
    <xf numFmtId="43" fontId="7" fillId="0" borderId="17" xfId="0" applyNumberFormat="1" applyFont="1" applyBorder="1" applyAlignment="1">
      <alignment/>
    </xf>
    <xf numFmtId="0" fontId="7" fillId="0" borderId="20" xfId="0" applyFont="1" applyBorder="1" applyAlignment="1" quotePrefix="1">
      <alignment/>
    </xf>
    <xf numFmtId="0" fontId="7" fillId="0" borderId="41" xfId="0" applyFont="1" applyBorder="1" applyAlignment="1" quotePrefix="1">
      <alignment/>
    </xf>
    <xf numFmtId="43" fontId="7" fillId="0" borderId="20" xfId="0" applyNumberFormat="1" applyFont="1" applyBorder="1" applyAlignment="1">
      <alignment/>
    </xf>
    <xf numFmtId="43" fontId="7" fillId="0" borderId="16" xfId="0" applyNumberFormat="1" applyFont="1" applyBorder="1" applyAlignment="1">
      <alignment/>
    </xf>
    <xf numFmtId="43" fontId="7" fillId="0" borderId="43" xfId="0" applyNumberFormat="1" applyFont="1" applyBorder="1" applyAlignment="1">
      <alignment/>
    </xf>
    <xf numFmtId="43" fontId="7" fillId="0" borderId="17" xfId="42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1" xfId="0" applyFont="1" applyBorder="1" applyAlignment="1" quotePrefix="1">
      <alignment/>
    </xf>
    <xf numFmtId="0" fontId="7" fillId="0" borderId="0" xfId="0" applyFont="1" applyBorder="1" applyAlignment="1" quotePrefix="1">
      <alignment/>
    </xf>
    <xf numFmtId="43" fontId="7" fillId="0" borderId="0" xfId="42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6" fillId="0" borderId="14" xfId="42" applyFont="1" applyBorder="1" applyAlignment="1">
      <alignment/>
    </xf>
    <xf numFmtId="43" fontId="6" fillId="0" borderId="27" xfId="42" applyFont="1" applyBorder="1" applyAlignment="1">
      <alignment horizontal="center"/>
    </xf>
    <xf numFmtId="43" fontId="6" fillId="0" borderId="26" xfId="42" applyFont="1" applyBorder="1" applyAlignment="1">
      <alignment horizontal="center"/>
    </xf>
    <xf numFmtId="43" fontId="6" fillId="0" borderId="37" xfId="42" applyFont="1" applyBorder="1" applyAlignment="1">
      <alignment/>
    </xf>
    <xf numFmtId="0" fontId="7" fillId="0" borderId="34" xfId="0" applyFont="1" applyFill="1" applyBorder="1" applyAlignment="1" quotePrefix="1">
      <alignment/>
    </xf>
    <xf numFmtId="0" fontId="7" fillId="0" borderId="33" xfId="0" applyFont="1" applyFill="1" applyBorder="1" applyAlignment="1" quotePrefix="1">
      <alignment/>
    </xf>
    <xf numFmtId="0" fontId="4" fillId="19" borderId="31" xfId="0" applyFont="1" applyFill="1" applyBorder="1" applyAlignment="1">
      <alignment horizontal="center"/>
    </xf>
    <xf numFmtId="43" fontId="6" fillId="0" borderId="19" xfId="0" applyNumberFormat="1" applyFont="1" applyBorder="1" applyAlignment="1">
      <alignment horizontal="center"/>
    </xf>
    <xf numFmtId="43" fontId="3" fillId="0" borderId="0" xfId="42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19" borderId="35" xfId="0" applyFont="1" applyFill="1" applyBorder="1" applyAlignment="1">
      <alignment horizontal="center"/>
    </xf>
    <xf numFmtId="0" fontId="4" fillId="19" borderId="45" xfId="0" applyFont="1" applyFill="1" applyBorder="1" applyAlignment="1">
      <alignment horizontal="center"/>
    </xf>
    <xf numFmtId="0" fontId="4" fillId="19" borderId="39" xfId="0" applyFont="1" applyFill="1" applyBorder="1" applyAlignment="1">
      <alignment horizontal="center"/>
    </xf>
    <xf numFmtId="0" fontId="4" fillId="19" borderId="34" xfId="0" applyFont="1" applyFill="1" applyBorder="1" applyAlignment="1">
      <alignment horizontal="center" vertical="center"/>
    </xf>
    <xf numFmtId="0" fontId="4" fillId="19" borderId="33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3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161925</xdr:colOff>
      <xdr:row>154</xdr:row>
      <xdr:rowOff>66675</xdr:rowOff>
    </xdr:from>
    <xdr:to>
      <xdr:col>21</xdr:col>
      <xdr:colOff>390525</xdr:colOff>
      <xdr:row>160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35150" y="22364700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581025</xdr:colOff>
      <xdr:row>83</xdr:row>
      <xdr:rowOff>180975</xdr:rowOff>
    </xdr:from>
    <xdr:to>
      <xdr:col>14</xdr:col>
      <xdr:colOff>142875</xdr:colOff>
      <xdr:row>88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13935075"/>
          <a:ext cx="1114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84</xdr:row>
      <xdr:rowOff>47625</xdr:rowOff>
    </xdr:from>
    <xdr:to>
      <xdr:col>2</xdr:col>
      <xdr:colOff>1000125</xdr:colOff>
      <xdr:row>87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14030325"/>
          <a:ext cx="1028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showGridLines="0" tabSelected="1" zoomScale="136" zoomScaleNormal="136" workbookViewId="0" topLeftCell="A4">
      <pane xSplit="3" ySplit="3" topLeftCell="D69" activePane="bottomRight" state="frozen"/>
      <selection pane="topLeft" activeCell="A4" sqref="A4"/>
      <selection pane="topRight" activeCell="D4" sqref="D4"/>
      <selection pane="bottomLeft" activeCell="A7" sqref="A7"/>
      <selection pane="bottomRight" activeCell="E72" sqref="E72"/>
    </sheetView>
  </sheetViews>
  <sheetFormatPr defaultColWidth="9.140625" defaultRowHeight="12.75"/>
  <cols>
    <col min="1" max="1" width="0.9921875" style="0" customWidth="1"/>
    <col min="2" max="2" width="1.421875" style="0" customWidth="1"/>
    <col min="3" max="3" width="28.57421875" style="0" customWidth="1"/>
    <col min="4" max="4" width="11.421875" style="0" customWidth="1"/>
    <col min="5" max="5" width="11.140625" style="0" customWidth="1"/>
    <col min="6" max="6" width="9.8515625" style="0" customWidth="1"/>
    <col min="7" max="9" width="11.28125" style="0" customWidth="1"/>
    <col min="10" max="10" width="14.140625" style="0" customWidth="1"/>
    <col min="11" max="12" width="11.28125" style="0" customWidth="1"/>
    <col min="13" max="13" width="11.140625" style="0" customWidth="1"/>
    <col min="14" max="14" width="12.140625" style="0" customWidth="1"/>
    <col min="15" max="15" width="10.8515625" style="0" customWidth="1"/>
    <col min="16" max="16" width="17.57421875" style="0" customWidth="1"/>
    <col min="17" max="17" width="11.57421875" style="0" bestFit="1" customWidth="1"/>
  </cols>
  <sheetData>
    <row r="1" spans="2:16" ht="12.75">
      <c r="B1" s="183" t="s">
        <v>21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5"/>
    </row>
    <row r="2" spans="2:16" ht="12.75">
      <c r="B2" s="183" t="s">
        <v>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5"/>
    </row>
    <row r="3" spans="2:16" ht="12.75">
      <c r="B3" s="184" t="s">
        <v>60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2"/>
    </row>
    <row r="4" spans="2:16" ht="12.75">
      <c r="B4" s="11" t="s">
        <v>58</v>
      </c>
      <c r="C4" s="11"/>
      <c r="D4" s="11"/>
      <c r="E4" s="11"/>
      <c r="F4" s="11"/>
      <c r="G4" s="17"/>
      <c r="H4" s="11"/>
      <c r="I4" s="11"/>
      <c r="J4" s="11"/>
      <c r="K4" s="103"/>
      <c r="L4" s="40"/>
      <c r="M4" s="11"/>
      <c r="N4" s="11"/>
      <c r="O4" s="11"/>
      <c r="P4" s="11"/>
    </row>
    <row r="5" spans="2:16" ht="12.75">
      <c r="B5" s="188" t="s">
        <v>4</v>
      </c>
      <c r="C5" s="189"/>
      <c r="D5" s="185" t="s">
        <v>5</v>
      </c>
      <c r="E5" s="186"/>
      <c r="F5" s="186"/>
      <c r="G5" s="187"/>
      <c r="H5" s="185" t="s">
        <v>6</v>
      </c>
      <c r="I5" s="186"/>
      <c r="J5" s="186"/>
      <c r="K5" s="187"/>
      <c r="L5" s="185" t="s">
        <v>7</v>
      </c>
      <c r="M5" s="186"/>
      <c r="N5" s="186"/>
      <c r="O5" s="187"/>
      <c r="P5" s="14"/>
    </row>
    <row r="6" spans="2:16" ht="12.75">
      <c r="B6" s="190"/>
      <c r="C6" s="191"/>
      <c r="D6" s="180" t="s">
        <v>38</v>
      </c>
      <c r="E6" s="180" t="s">
        <v>39</v>
      </c>
      <c r="F6" s="180" t="s">
        <v>40</v>
      </c>
      <c r="G6" s="180" t="s">
        <v>8</v>
      </c>
      <c r="H6" s="180" t="s">
        <v>38</v>
      </c>
      <c r="I6" s="180" t="s">
        <v>39</v>
      </c>
      <c r="J6" s="180" t="s">
        <v>40</v>
      </c>
      <c r="K6" s="180" t="s">
        <v>8</v>
      </c>
      <c r="L6" s="180" t="s">
        <v>38</v>
      </c>
      <c r="M6" s="180" t="s">
        <v>39</v>
      </c>
      <c r="N6" s="180" t="s">
        <v>40</v>
      </c>
      <c r="O6" s="180" t="s">
        <v>8</v>
      </c>
      <c r="P6" s="14"/>
    </row>
    <row r="7" spans="2:16" ht="12.75">
      <c r="B7" s="102" t="s">
        <v>9</v>
      </c>
      <c r="C7" s="102"/>
      <c r="D7" s="19">
        <f>D9+D16+D19+D44+D13</f>
        <v>198727000</v>
      </c>
      <c r="E7" s="19">
        <f>E9+E16+E19+E44</f>
        <v>48086321</v>
      </c>
      <c r="F7" s="19">
        <f>F9+F16+F19+F44</f>
        <v>4060000</v>
      </c>
      <c r="G7" s="19">
        <f>G9+G16+G19+G44+G13</f>
        <v>250873321</v>
      </c>
      <c r="H7" s="19">
        <f aca="true" t="shared" si="0" ref="H7:O7">H9+H16+H19+H44+H13</f>
        <v>57464349.029999994</v>
      </c>
      <c r="I7" s="19">
        <f t="shared" si="0"/>
        <v>8150447.029999999</v>
      </c>
      <c r="J7" s="19">
        <f t="shared" si="0"/>
        <v>3900000</v>
      </c>
      <c r="K7" s="19">
        <f t="shared" si="0"/>
        <v>69539796.06</v>
      </c>
      <c r="L7" s="19">
        <f t="shared" si="0"/>
        <v>137113685.57999998</v>
      </c>
      <c r="M7" s="19">
        <f t="shared" si="0"/>
        <v>39935873.97</v>
      </c>
      <c r="N7" s="19">
        <f t="shared" si="0"/>
        <v>0</v>
      </c>
      <c r="O7" s="19">
        <f t="shared" si="0"/>
        <v>181333524.93999997</v>
      </c>
      <c r="P7" s="13"/>
    </row>
    <row r="8" spans="2:16" ht="9.75" customHeight="1">
      <c r="B8" s="113"/>
      <c r="C8" s="135"/>
      <c r="D8" s="147"/>
      <c r="E8" s="148"/>
      <c r="F8" s="155"/>
      <c r="G8" s="148"/>
      <c r="H8" s="155"/>
      <c r="I8" s="156"/>
      <c r="J8" s="156"/>
      <c r="K8" s="152"/>
      <c r="L8" s="156"/>
      <c r="M8" s="155"/>
      <c r="N8" s="156"/>
      <c r="O8" s="157"/>
      <c r="P8" s="61"/>
    </row>
    <row r="9" spans="2:16" ht="12.75">
      <c r="B9" s="131" t="s">
        <v>19</v>
      </c>
      <c r="C9" s="138"/>
      <c r="D9" s="19">
        <f aca="true" t="shared" si="1" ref="D9:O9">D10+D11</f>
        <v>177553000</v>
      </c>
      <c r="E9" s="19">
        <f t="shared" si="1"/>
        <v>27016000</v>
      </c>
      <c r="F9" s="19">
        <f t="shared" si="1"/>
        <v>3900000</v>
      </c>
      <c r="G9" s="19">
        <f t="shared" si="1"/>
        <v>208469000</v>
      </c>
      <c r="H9" s="19">
        <f t="shared" si="1"/>
        <v>52609267.12</v>
      </c>
      <c r="I9" s="19">
        <f t="shared" si="1"/>
        <v>4775194.74</v>
      </c>
      <c r="J9" s="19">
        <f t="shared" si="1"/>
        <v>3900000</v>
      </c>
      <c r="K9" s="19">
        <f t="shared" si="1"/>
        <v>61284461.86</v>
      </c>
      <c r="L9" s="19">
        <f t="shared" si="1"/>
        <v>124943732.88</v>
      </c>
      <c r="M9" s="19">
        <f t="shared" si="1"/>
        <v>22240805.259999998</v>
      </c>
      <c r="N9" s="19">
        <f t="shared" si="1"/>
        <v>0</v>
      </c>
      <c r="O9" s="19">
        <f t="shared" si="1"/>
        <v>147184538.14</v>
      </c>
      <c r="P9" s="13"/>
    </row>
    <row r="10" spans="2:16" ht="12.75">
      <c r="B10" s="128"/>
      <c r="C10" s="136" t="s">
        <v>20</v>
      </c>
      <c r="D10" s="24">
        <v>177553000</v>
      </c>
      <c r="E10" s="25">
        <v>26508000</v>
      </c>
      <c r="F10" s="67">
        <v>3900000</v>
      </c>
      <c r="G10" s="26">
        <f>F10+E10+D10</f>
        <v>207961000</v>
      </c>
      <c r="H10" s="25">
        <f>14025729.24+12501074.3+26082463.58</f>
        <v>52609267.12</v>
      </c>
      <c r="I10" s="26">
        <f>2045914.33+754433.16+1842852.5</f>
        <v>4643199.99</v>
      </c>
      <c r="J10" s="25">
        <f>3643196+256804</f>
        <v>3900000</v>
      </c>
      <c r="K10" s="24">
        <f>SUM(H10:J10)</f>
        <v>61152467.11</v>
      </c>
      <c r="L10" s="25">
        <f>D10-H10</f>
        <v>124943732.88</v>
      </c>
      <c r="M10" s="24">
        <f>E10-I10</f>
        <v>21864800.009999998</v>
      </c>
      <c r="N10" s="25">
        <f>F10-J10</f>
        <v>0</v>
      </c>
      <c r="O10" s="25">
        <f>+N10+M10+L10</f>
        <v>146808532.89</v>
      </c>
      <c r="P10" s="13"/>
    </row>
    <row r="11" spans="2:16" ht="12.75">
      <c r="B11" s="129"/>
      <c r="C11" s="137" t="s">
        <v>16</v>
      </c>
      <c r="D11" s="75"/>
      <c r="E11" s="76">
        <v>508000</v>
      </c>
      <c r="F11" s="71"/>
      <c r="G11" s="72">
        <f>+E11+D11+F11</f>
        <v>508000</v>
      </c>
      <c r="H11" s="76">
        <v>0</v>
      </c>
      <c r="I11" s="77">
        <f>5870.76+6660+119463.99</f>
        <v>131994.75</v>
      </c>
      <c r="J11" s="78"/>
      <c r="K11" s="75">
        <f>I11+J11+H11</f>
        <v>131994.75</v>
      </c>
      <c r="L11" s="76"/>
      <c r="M11" s="75">
        <f>G11-I11</f>
        <v>376005.25</v>
      </c>
      <c r="N11" s="73"/>
      <c r="O11" s="73">
        <f>+N11+M11+L11</f>
        <v>376005.25</v>
      </c>
      <c r="P11" s="13"/>
    </row>
    <row r="12" spans="2:16" ht="9.75" customHeight="1">
      <c r="B12" s="154"/>
      <c r="C12" s="146"/>
      <c r="D12" s="147"/>
      <c r="E12" s="148"/>
      <c r="F12" s="149"/>
      <c r="G12" s="150"/>
      <c r="H12" s="148"/>
      <c r="I12" s="147"/>
      <c r="J12" s="151"/>
      <c r="K12" s="152"/>
      <c r="L12" s="148"/>
      <c r="M12" s="152"/>
      <c r="N12" s="153"/>
      <c r="O12" s="153"/>
      <c r="P12" s="13"/>
    </row>
    <row r="13" spans="2:16" ht="12.75">
      <c r="B13" s="131" t="s">
        <v>37</v>
      </c>
      <c r="C13" s="138"/>
      <c r="D13" s="21">
        <f aca="true" t="shared" si="2" ref="D13:K13">D14</f>
        <v>4460000</v>
      </c>
      <c r="E13" s="19">
        <f t="shared" si="2"/>
        <v>0</v>
      </c>
      <c r="F13" s="19">
        <f t="shared" si="2"/>
        <v>0</v>
      </c>
      <c r="G13" s="51">
        <f t="shared" si="2"/>
        <v>4460000</v>
      </c>
      <c r="H13" s="19">
        <f t="shared" si="2"/>
        <v>912034.61</v>
      </c>
      <c r="I13" s="21">
        <f t="shared" si="2"/>
        <v>0</v>
      </c>
      <c r="J13" s="21">
        <f t="shared" si="2"/>
        <v>0</v>
      </c>
      <c r="K13" s="19">
        <f t="shared" si="2"/>
        <v>912034.61</v>
      </c>
      <c r="L13" s="19">
        <v>0</v>
      </c>
      <c r="M13" s="20">
        <v>0</v>
      </c>
      <c r="N13" s="74">
        <v>0</v>
      </c>
      <c r="O13" s="19">
        <f>O14</f>
        <v>3547965.39</v>
      </c>
      <c r="P13" s="13"/>
    </row>
    <row r="14" spans="2:16" ht="12.75">
      <c r="B14" s="130"/>
      <c r="C14" s="140" t="s">
        <v>59</v>
      </c>
      <c r="D14" s="91">
        <v>4460000</v>
      </c>
      <c r="E14" s="88">
        <v>0</v>
      </c>
      <c r="F14" s="88">
        <v>0</v>
      </c>
      <c r="G14" s="90">
        <f>SUM(D14:F14)</f>
        <v>4460000</v>
      </c>
      <c r="H14" s="88">
        <v>912034.61</v>
      </c>
      <c r="I14" s="91">
        <v>0</v>
      </c>
      <c r="J14" s="109">
        <v>0</v>
      </c>
      <c r="K14" s="87">
        <f>SUM(H14:J14)</f>
        <v>912034.61</v>
      </c>
      <c r="L14" s="88">
        <f>+D14-H14</f>
        <v>3547965.39</v>
      </c>
      <c r="M14" s="87"/>
      <c r="N14" s="92"/>
      <c r="O14" s="92">
        <f>N14+M14+L14</f>
        <v>3547965.39</v>
      </c>
      <c r="P14" s="13"/>
    </row>
    <row r="15" spans="2:16" ht="9.75" customHeight="1">
      <c r="B15" s="154"/>
      <c r="C15" s="146"/>
      <c r="D15" s="147"/>
      <c r="E15" s="148"/>
      <c r="F15" s="149"/>
      <c r="G15" s="150"/>
      <c r="H15" s="148"/>
      <c r="I15" s="147"/>
      <c r="J15" s="151"/>
      <c r="K15" s="152"/>
      <c r="L15" s="148"/>
      <c r="M15" s="152"/>
      <c r="N15" s="153"/>
      <c r="O15" s="153"/>
      <c r="P15" s="13"/>
    </row>
    <row r="16" spans="2:16" ht="12.75">
      <c r="B16" s="131" t="s">
        <v>15</v>
      </c>
      <c r="C16" s="138"/>
      <c r="D16" s="21">
        <f>D17</f>
        <v>16113000</v>
      </c>
      <c r="E16" s="19">
        <f aca="true" t="shared" si="3" ref="E16:O16">E17</f>
        <v>0</v>
      </c>
      <c r="F16" s="19">
        <f t="shared" si="3"/>
        <v>0</v>
      </c>
      <c r="G16" s="19">
        <f t="shared" si="3"/>
        <v>16113000</v>
      </c>
      <c r="H16" s="19">
        <f>H17</f>
        <v>3943047.3</v>
      </c>
      <c r="I16" s="19">
        <v>0</v>
      </c>
      <c r="J16" s="19">
        <f t="shared" si="3"/>
        <v>0</v>
      </c>
      <c r="K16" s="19">
        <f t="shared" si="3"/>
        <v>3943047.3</v>
      </c>
      <c r="L16" s="19">
        <f t="shared" si="3"/>
        <v>12169952.7</v>
      </c>
      <c r="M16" s="19">
        <f t="shared" si="3"/>
        <v>0</v>
      </c>
      <c r="N16" s="19">
        <f t="shared" si="3"/>
        <v>0</v>
      </c>
      <c r="O16" s="19">
        <f t="shared" si="3"/>
        <v>12169952.7</v>
      </c>
      <c r="P16" s="13"/>
    </row>
    <row r="17" spans="2:16" ht="12.75">
      <c r="B17" s="130"/>
      <c r="C17" s="140" t="s">
        <v>23</v>
      </c>
      <c r="D17" s="91">
        <v>16113000</v>
      </c>
      <c r="E17" s="88"/>
      <c r="F17" s="89"/>
      <c r="G17" s="90">
        <f>F17+E17+D17</f>
        <v>16113000</v>
      </c>
      <c r="H17" s="88">
        <f>1306456.92+2636590.38</f>
        <v>3943047.3</v>
      </c>
      <c r="I17" s="91">
        <v>0</v>
      </c>
      <c r="J17" s="109">
        <v>0</v>
      </c>
      <c r="K17" s="87">
        <f>J17+I17+H17</f>
        <v>3943047.3</v>
      </c>
      <c r="L17" s="88">
        <f>+D17-H17</f>
        <v>12169952.7</v>
      </c>
      <c r="M17" s="87"/>
      <c r="N17" s="92"/>
      <c r="O17" s="92">
        <f>N17+M17+L17</f>
        <v>12169952.7</v>
      </c>
      <c r="P17" s="13"/>
    </row>
    <row r="18" spans="2:16" ht="9.75" customHeight="1">
      <c r="B18" s="154"/>
      <c r="C18" s="146"/>
      <c r="D18" s="147"/>
      <c r="E18" s="148"/>
      <c r="F18" s="149"/>
      <c r="G18" s="150"/>
      <c r="H18" s="148"/>
      <c r="I18" s="147"/>
      <c r="J18" s="151"/>
      <c r="K18" s="152"/>
      <c r="L18" s="148"/>
      <c r="M18" s="152"/>
      <c r="N18" s="153"/>
      <c r="O18" s="153"/>
      <c r="P18" s="13"/>
    </row>
    <row r="19" spans="2:17" ht="12.75">
      <c r="B19" s="123" t="s">
        <v>12</v>
      </c>
      <c r="C19" s="139"/>
      <c r="D19" s="19">
        <f>SUM(D20:D42)</f>
        <v>601000</v>
      </c>
      <c r="E19" s="19">
        <f>SUM(E20:E42)</f>
        <v>21070321</v>
      </c>
      <c r="F19" s="19">
        <f>SUM(F20:F42)</f>
        <v>160000</v>
      </c>
      <c r="G19" s="19">
        <f>SUM(G20:G42)</f>
        <v>21831321</v>
      </c>
      <c r="H19" s="19">
        <f>H22</f>
        <v>0</v>
      </c>
      <c r="I19" s="19">
        <f>SUM(I20:I42)</f>
        <v>3375252.2899999996</v>
      </c>
      <c r="J19" s="93"/>
      <c r="K19" s="19">
        <f>SUM(K20:K42)</f>
        <v>3400252.2899999996</v>
      </c>
      <c r="L19" s="19"/>
      <c r="M19" s="19">
        <f>SUM(M20:M42)</f>
        <v>17695068.71</v>
      </c>
      <c r="N19" s="74"/>
      <c r="O19" s="19">
        <f>SUM(O20:O42)</f>
        <v>18431068.71</v>
      </c>
      <c r="P19" s="13"/>
      <c r="Q19" s="104"/>
    </row>
    <row r="20" spans="2:16" ht="12.75">
      <c r="B20" s="114"/>
      <c r="C20" s="159" t="s">
        <v>13</v>
      </c>
      <c r="D20" s="124">
        <f>456000</f>
        <v>456000</v>
      </c>
      <c r="E20" s="106">
        <f>188000</f>
        <v>188000</v>
      </c>
      <c r="F20" s="34">
        <v>160000</v>
      </c>
      <c r="G20" s="46">
        <f>E20+D20+F20</f>
        <v>804000</v>
      </c>
      <c r="H20" s="106"/>
      <c r="I20" s="124">
        <v>20242</v>
      </c>
      <c r="J20" s="107"/>
      <c r="K20" s="22">
        <f>I20+J20+H20</f>
        <v>20242</v>
      </c>
      <c r="L20" s="25">
        <f aca="true" t="shared" si="4" ref="L20:N21">+D20-H20</f>
        <v>456000</v>
      </c>
      <c r="M20" s="24">
        <f t="shared" si="4"/>
        <v>167758</v>
      </c>
      <c r="N20" s="174">
        <f t="shared" si="4"/>
        <v>160000</v>
      </c>
      <c r="O20" s="105">
        <f>M20+N20+L20</f>
        <v>783758</v>
      </c>
      <c r="P20" s="13"/>
    </row>
    <row r="21" spans="2:16" ht="12.75">
      <c r="B21" s="116"/>
      <c r="C21" s="117" t="s">
        <v>36</v>
      </c>
      <c r="D21" s="97"/>
      <c r="E21" s="30"/>
      <c r="F21" s="31"/>
      <c r="G21" s="47">
        <f>E21+D21+F21</f>
        <v>0</v>
      </c>
      <c r="H21" s="30"/>
      <c r="I21" s="97"/>
      <c r="J21" s="181"/>
      <c r="K21" s="29">
        <f aca="true" t="shared" si="5" ref="K21:K41">I21+J21+H21</f>
        <v>0</v>
      </c>
      <c r="L21" s="30">
        <f t="shared" si="4"/>
        <v>0</v>
      </c>
      <c r="M21" s="29">
        <f t="shared" si="4"/>
        <v>0</v>
      </c>
      <c r="N21" s="50">
        <f t="shared" si="4"/>
        <v>0</v>
      </c>
      <c r="O21" s="50">
        <f>M21+N21+L21</f>
        <v>0</v>
      </c>
      <c r="P21" s="13"/>
    </row>
    <row r="22" spans="2:16" ht="12.75">
      <c r="B22" s="116"/>
      <c r="C22" s="117" t="s">
        <v>30</v>
      </c>
      <c r="D22" s="97"/>
      <c r="E22" s="30"/>
      <c r="F22" s="31"/>
      <c r="G22" s="47">
        <f>E22+D22+F22</f>
        <v>0</v>
      </c>
      <c r="H22" s="30"/>
      <c r="I22" s="97"/>
      <c r="J22" s="98"/>
      <c r="K22" s="29">
        <f t="shared" si="5"/>
        <v>0</v>
      </c>
      <c r="L22" s="30">
        <f aca="true" t="shared" si="6" ref="L22:L41">+D22-H22</f>
        <v>0</v>
      </c>
      <c r="M22" s="29">
        <f aca="true" t="shared" si="7" ref="M22:M41">+E22-I22</f>
        <v>0</v>
      </c>
      <c r="N22" s="50">
        <f aca="true" t="shared" si="8" ref="N22:N41">+F22-J22</f>
        <v>0</v>
      </c>
      <c r="O22" s="50">
        <f aca="true" t="shared" si="9" ref="O22:O41">M22+N22+L22</f>
        <v>0</v>
      </c>
      <c r="P22" s="13"/>
    </row>
    <row r="23" spans="2:16" ht="12.75">
      <c r="B23" s="116"/>
      <c r="C23" s="117" t="s">
        <v>31</v>
      </c>
      <c r="D23" s="97">
        <v>145000</v>
      </c>
      <c r="E23" s="106">
        <f>30000+280000+15000</f>
        <v>325000</v>
      </c>
      <c r="F23" s="31"/>
      <c r="G23" s="47">
        <f>E23+D23+F23</f>
        <v>470000</v>
      </c>
      <c r="H23" s="30">
        <v>25000</v>
      </c>
      <c r="I23" s="97">
        <f>128000+10635</f>
        <v>138635</v>
      </c>
      <c r="J23" s="98"/>
      <c r="K23" s="29">
        <f t="shared" si="5"/>
        <v>163635</v>
      </c>
      <c r="L23" s="30">
        <f t="shared" si="6"/>
        <v>120000</v>
      </c>
      <c r="M23" s="29">
        <f t="shared" si="7"/>
        <v>186365</v>
      </c>
      <c r="N23" s="50">
        <f t="shared" si="8"/>
        <v>0</v>
      </c>
      <c r="O23" s="50">
        <f t="shared" si="9"/>
        <v>306365</v>
      </c>
      <c r="P23" s="13"/>
    </row>
    <row r="24" spans="2:16" ht="12.75">
      <c r="B24" s="116"/>
      <c r="C24" s="117" t="s">
        <v>47</v>
      </c>
      <c r="D24" s="97"/>
      <c r="E24" s="30">
        <v>5711500</v>
      </c>
      <c r="F24" s="31"/>
      <c r="G24" s="47">
        <f>E24</f>
        <v>5711500</v>
      </c>
      <c r="H24" s="30"/>
      <c r="I24" s="97">
        <v>714287.11</v>
      </c>
      <c r="J24" s="98"/>
      <c r="K24" s="29">
        <f t="shared" si="5"/>
        <v>714287.11</v>
      </c>
      <c r="L24" s="30">
        <f t="shared" si="6"/>
        <v>0</v>
      </c>
      <c r="M24" s="29">
        <f t="shared" si="7"/>
        <v>4997212.89</v>
      </c>
      <c r="N24" s="50">
        <f t="shared" si="8"/>
        <v>0</v>
      </c>
      <c r="O24" s="50">
        <f t="shared" si="9"/>
        <v>4997212.89</v>
      </c>
      <c r="P24" s="13"/>
    </row>
    <row r="25" spans="2:16" ht="12.75">
      <c r="B25" s="116"/>
      <c r="C25" s="117" t="s">
        <v>48</v>
      </c>
      <c r="D25" s="97"/>
      <c r="E25" s="30">
        <v>1794200</v>
      </c>
      <c r="F25" s="31"/>
      <c r="G25" s="47">
        <f>E25</f>
        <v>1794200</v>
      </c>
      <c r="H25" s="30"/>
      <c r="I25" s="97"/>
      <c r="J25" s="98"/>
      <c r="K25" s="29">
        <f t="shared" si="5"/>
        <v>0</v>
      </c>
      <c r="L25" s="30">
        <f t="shared" si="6"/>
        <v>0</v>
      </c>
      <c r="M25" s="29">
        <f t="shared" si="7"/>
        <v>1794200</v>
      </c>
      <c r="N25" s="50">
        <f t="shared" si="8"/>
        <v>0</v>
      </c>
      <c r="O25" s="50">
        <f t="shared" si="9"/>
        <v>1794200</v>
      </c>
      <c r="P25" s="13"/>
    </row>
    <row r="26" spans="2:16" ht="12.75">
      <c r="B26" s="116"/>
      <c r="C26" s="117" t="s">
        <v>56</v>
      </c>
      <c r="D26" s="97"/>
      <c r="E26" s="30">
        <v>350175</v>
      </c>
      <c r="F26" s="31"/>
      <c r="G26" s="47">
        <f>E26</f>
        <v>350175</v>
      </c>
      <c r="H26" s="30"/>
      <c r="I26" s="97">
        <v>9538.26</v>
      </c>
      <c r="J26" s="98"/>
      <c r="K26" s="29">
        <f t="shared" si="5"/>
        <v>9538.26</v>
      </c>
      <c r="L26" s="30">
        <f t="shared" si="6"/>
        <v>0</v>
      </c>
      <c r="M26" s="29">
        <f t="shared" si="7"/>
        <v>340636.74</v>
      </c>
      <c r="N26" s="50">
        <f t="shared" si="8"/>
        <v>0</v>
      </c>
      <c r="O26" s="50">
        <f t="shared" si="9"/>
        <v>340636.74</v>
      </c>
      <c r="P26" s="13"/>
    </row>
    <row r="27" spans="2:16" ht="12.75">
      <c r="B27" s="116"/>
      <c r="C27" s="117" t="s">
        <v>27</v>
      </c>
      <c r="D27" s="97"/>
      <c r="E27" s="30">
        <f>1402589+70000+30000</f>
        <v>1502589</v>
      </c>
      <c r="F27" s="31"/>
      <c r="G27" s="47">
        <f>+F27+E27</f>
        <v>1502589</v>
      </c>
      <c r="H27" s="30"/>
      <c r="I27" s="97">
        <f>393433.95+106813.21+293419.05+900</f>
        <v>794566.21</v>
      </c>
      <c r="J27" s="98"/>
      <c r="K27" s="29">
        <f t="shared" si="5"/>
        <v>794566.21</v>
      </c>
      <c r="L27" s="30">
        <f t="shared" si="6"/>
        <v>0</v>
      </c>
      <c r="M27" s="29">
        <f t="shared" si="7"/>
        <v>708022.79</v>
      </c>
      <c r="N27" s="50">
        <f t="shared" si="8"/>
        <v>0</v>
      </c>
      <c r="O27" s="50">
        <f t="shared" si="9"/>
        <v>708022.79</v>
      </c>
      <c r="P27" s="13"/>
    </row>
    <row r="28" spans="2:16" ht="12.75">
      <c r="B28" s="116"/>
      <c r="C28" s="117" t="s">
        <v>28</v>
      </c>
      <c r="D28" s="97"/>
      <c r="E28" s="30">
        <f>169100+339000+350000</f>
        <v>858100</v>
      </c>
      <c r="F28" s="31"/>
      <c r="G28" s="47">
        <f>F28+E28+D28</f>
        <v>858100</v>
      </c>
      <c r="H28" s="30"/>
      <c r="I28" s="97">
        <f>1595.89+6644.19</f>
        <v>8240.08</v>
      </c>
      <c r="J28" s="98"/>
      <c r="K28" s="29">
        <f t="shared" si="5"/>
        <v>8240.08</v>
      </c>
      <c r="L28" s="30">
        <f t="shared" si="6"/>
        <v>0</v>
      </c>
      <c r="M28" s="29">
        <f t="shared" si="7"/>
        <v>849859.92</v>
      </c>
      <c r="N28" s="50">
        <f t="shared" si="8"/>
        <v>0</v>
      </c>
      <c r="O28" s="50">
        <f t="shared" si="9"/>
        <v>849859.92</v>
      </c>
      <c r="P28" s="13"/>
    </row>
    <row r="29" spans="2:16" ht="12.75">
      <c r="B29" s="116"/>
      <c r="C29" s="117" t="s">
        <v>50</v>
      </c>
      <c r="D29" s="97"/>
      <c r="E29" s="30">
        <v>171000</v>
      </c>
      <c r="F29" s="31"/>
      <c r="G29" s="47">
        <f>F29+E29+D29</f>
        <v>171000</v>
      </c>
      <c r="H29" s="30"/>
      <c r="I29" s="97"/>
      <c r="J29" s="98"/>
      <c r="K29" s="29">
        <f t="shared" si="5"/>
        <v>0</v>
      </c>
      <c r="L29" s="30">
        <f t="shared" si="6"/>
        <v>0</v>
      </c>
      <c r="M29" s="29">
        <f t="shared" si="7"/>
        <v>171000</v>
      </c>
      <c r="N29" s="50">
        <f t="shared" si="8"/>
        <v>0</v>
      </c>
      <c r="O29" s="50">
        <f t="shared" si="9"/>
        <v>171000</v>
      </c>
      <c r="P29" s="13"/>
    </row>
    <row r="30" spans="2:16" ht="12.75">
      <c r="B30" s="116"/>
      <c r="C30" s="117" t="s">
        <v>43</v>
      </c>
      <c r="D30" s="97"/>
      <c r="E30" s="30">
        <v>1568203</v>
      </c>
      <c r="F30" s="31"/>
      <c r="G30" s="47">
        <f aca="true" t="shared" si="10" ref="G30:G42">E30</f>
        <v>1568203</v>
      </c>
      <c r="H30" s="30"/>
      <c r="I30" s="97">
        <f>93176.37+132160.53</f>
        <v>225336.9</v>
      </c>
      <c r="J30" s="98"/>
      <c r="K30" s="29">
        <f t="shared" si="5"/>
        <v>225336.9</v>
      </c>
      <c r="L30" s="30">
        <f t="shared" si="6"/>
        <v>0</v>
      </c>
      <c r="M30" s="29">
        <f t="shared" si="7"/>
        <v>1342866.1</v>
      </c>
      <c r="N30" s="50">
        <f t="shared" si="8"/>
        <v>0</v>
      </c>
      <c r="O30" s="50">
        <f t="shared" si="9"/>
        <v>1342866.1</v>
      </c>
      <c r="P30" s="13"/>
    </row>
    <row r="31" spans="2:16" ht="12.75">
      <c r="B31" s="116"/>
      <c r="C31" s="117" t="s">
        <v>51</v>
      </c>
      <c r="D31" s="97"/>
      <c r="E31" s="30">
        <v>227400</v>
      </c>
      <c r="F31" s="31"/>
      <c r="G31" s="47">
        <f t="shared" si="10"/>
        <v>227400</v>
      </c>
      <c r="H31" s="30"/>
      <c r="I31" s="97">
        <v>113700</v>
      </c>
      <c r="J31" s="98"/>
      <c r="K31" s="29">
        <f t="shared" si="5"/>
        <v>113700</v>
      </c>
      <c r="L31" s="30">
        <f t="shared" si="6"/>
        <v>0</v>
      </c>
      <c r="M31" s="29">
        <f t="shared" si="7"/>
        <v>113700</v>
      </c>
      <c r="N31" s="50">
        <f t="shared" si="8"/>
        <v>0</v>
      </c>
      <c r="O31" s="50">
        <f t="shared" si="9"/>
        <v>113700</v>
      </c>
      <c r="P31" s="13"/>
    </row>
    <row r="32" spans="2:16" ht="12.75">
      <c r="B32" s="116"/>
      <c r="C32" s="117" t="s">
        <v>32</v>
      </c>
      <c r="D32" s="97"/>
      <c r="E32" s="30">
        <v>70500</v>
      </c>
      <c r="F32" s="31"/>
      <c r="G32" s="47">
        <f t="shared" si="10"/>
        <v>70500</v>
      </c>
      <c r="H32" s="30"/>
      <c r="I32" s="97"/>
      <c r="J32" s="98"/>
      <c r="K32" s="29">
        <f t="shared" si="5"/>
        <v>0</v>
      </c>
      <c r="L32" s="30">
        <f t="shared" si="6"/>
        <v>0</v>
      </c>
      <c r="M32" s="29">
        <f t="shared" si="7"/>
        <v>70500</v>
      </c>
      <c r="N32" s="50">
        <f t="shared" si="8"/>
        <v>0</v>
      </c>
      <c r="O32" s="50">
        <f t="shared" si="9"/>
        <v>70500</v>
      </c>
      <c r="P32" s="13"/>
    </row>
    <row r="33" spans="2:16" ht="19.5" customHeight="1">
      <c r="B33" s="134"/>
      <c r="C33" s="118" t="s">
        <v>33</v>
      </c>
      <c r="D33" s="97"/>
      <c r="E33" s="30">
        <v>7000</v>
      </c>
      <c r="F33" s="31"/>
      <c r="G33" s="47">
        <f t="shared" si="10"/>
        <v>7000</v>
      </c>
      <c r="H33" s="30"/>
      <c r="I33" s="97"/>
      <c r="J33" s="98"/>
      <c r="K33" s="29">
        <f t="shared" si="5"/>
        <v>0</v>
      </c>
      <c r="L33" s="30">
        <f t="shared" si="6"/>
        <v>0</v>
      </c>
      <c r="M33" s="29">
        <f t="shared" si="7"/>
        <v>7000</v>
      </c>
      <c r="N33" s="50">
        <f t="shared" si="8"/>
        <v>0</v>
      </c>
      <c r="O33" s="50">
        <f t="shared" si="9"/>
        <v>7000</v>
      </c>
      <c r="P33" s="13"/>
    </row>
    <row r="34" spans="2:16" ht="18.75">
      <c r="B34" s="134"/>
      <c r="C34" s="118" t="s">
        <v>52</v>
      </c>
      <c r="D34" s="97"/>
      <c r="E34" s="30">
        <v>651579</v>
      </c>
      <c r="F34" s="31"/>
      <c r="G34" s="47">
        <f t="shared" si="10"/>
        <v>651579</v>
      </c>
      <c r="H34" s="30"/>
      <c r="I34" s="97">
        <f>26263.66+111817.57+105402.8</f>
        <v>243484.03000000003</v>
      </c>
      <c r="J34" s="98"/>
      <c r="K34" s="29">
        <f t="shared" si="5"/>
        <v>243484.03000000003</v>
      </c>
      <c r="L34" s="30">
        <f t="shared" si="6"/>
        <v>0</v>
      </c>
      <c r="M34" s="29">
        <f t="shared" si="7"/>
        <v>408094.97</v>
      </c>
      <c r="N34" s="50">
        <f t="shared" si="8"/>
        <v>0</v>
      </c>
      <c r="O34" s="50">
        <f t="shared" si="9"/>
        <v>408094.97</v>
      </c>
      <c r="P34" s="13"/>
    </row>
    <row r="35" spans="2:16" ht="12.75">
      <c r="B35" s="134"/>
      <c r="C35" s="118" t="s">
        <v>53</v>
      </c>
      <c r="D35" s="97"/>
      <c r="E35" s="30">
        <f>595000+365500+340000</f>
        <v>1300500</v>
      </c>
      <c r="F35" s="31"/>
      <c r="G35" s="47">
        <f t="shared" si="10"/>
        <v>1300500</v>
      </c>
      <c r="H35" s="30"/>
      <c r="I35" s="97">
        <f>595000+20125+340000</f>
        <v>955125</v>
      </c>
      <c r="J35" s="98"/>
      <c r="K35" s="29">
        <f t="shared" si="5"/>
        <v>955125</v>
      </c>
      <c r="L35" s="30">
        <f t="shared" si="6"/>
        <v>0</v>
      </c>
      <c r="M35" s="29">
        <f t="shared" si="7"/>
        <v>345375</v>
      </c>
      <c r="N35" s="50">
        <f t="shared" si="8"/>
        <v>0</v>
      </c>
      <c r="O35" s="50">
        <f t="shared" si="9"/>
        <v>345375</v>
      </c>
      <c r="P35" s="13"/>
    </row>
    <row r="36" spans="2:16" ht="12.75">
      <c r="B36" s="116"/>
      <c r="C36" s="117" t="s">
        <v>44</v>
      </c>
      <c r="D36" s="97"/>
      <c r="E36" s="30">
        <v>1840800</v>
      </c>
      <c r="F36" s="31"/>
      <c r="G36" s="47">
        <f t="shared" si="10"/>
        <v>1840800</v>
      </c>
      <c r="H36" s="30"/>
      <c r="I36" s="97"/>
      <c r="J36" s="98"/>
      <c r="K36" s="29">
        <f t="shared" si="5"/>
        <v>0</v>
      </c>
      <c r="L36" s="30">
        <f t="shared" si="6"/>
        <v>0</v>
      </c>
      <c r="M36" s="29">
        <f t="shared" si="7"/>
        <v>1840800</v>
      </c>
      <c r="N36" s="50">
        <f t="shared" si="8"/>
        <v>0</v>
      </c>
      <c r="O36" s="50">
        <f t="shared" si="9"/>
        <v>1840800</v>
      </c>
      <c r="P36" s="13"/>
    </row>
    <row r="37" spans="2:16" ht="12.75">
      <c r="B37" s="116"/>
      <c r="C37" s="117" t="s">
        <v>45</v>
      </c>
      <c r="D37" s="97"/>
      <c r="E37" s="30">
        <v>3839837</v>
      </c>
      <c r="F37" s="31"/>
      <c r="G37" s="47">
        <f t="shared" si="10"/>
        <v>3839837</v>
      </c>
      <c r="H37" s="30"/>
      <c r="I37" s="97"/>
      <c r="J37" s="98"/>
      <c r="K37" s="29">
        <f t="shared" si="5"/>
        <v>0</v>
      </c>
      <c r="L37" s="30">
        <f t="shared" si="6"/>
        <v>0</v>
      </c>
      <c r="M37" s="29">
        <f t="shared" si="7"/>
        <v>3839837</v>
      </c>
      <c r="N37" s="50">
        <f t="shared" si="8"/>
        <v>0</v>
      </c>
      <c r="O37" s="50">
        <f t="shared" si="9"/>
        <v>3839837</v>
      </c>
      <c r="P37" s="13"/>
    </row>
    <row r="38" spans="2:16" ht="12.75">
      <c r="B38" s="116"/>
      <c r="C38" s="117" t="s">
        <v>46</v>
      </c>
      <c r="D38" s="97"/>
      <c r="E38" s="30">
        <v>60000</v>
      </c>
      <c r="F38" s="31"/>
      <c r="G38" s="47">
        <f t="shared" si="10"/>
        <v>60000</v>
      </c>
      <c r="H38" s="30"/>
      <c r="I38" s="97"/>
      <c r="J38" s="98"/>
      <c r="K38" s="29">
        <f t="shared" si="5"/>
        <v>0</v>
      </c>
      <c r="L38" s="30">
        <f t="shared" si="6"/>
        <v>0</v>
      </c>
      <c r="M38" s="29">
        <f t="shared" si="7"/>
        <v>60000</v>
      </c>
      <c r="N38" s="50">
        <f t="shared" si="8"/>
        <v>0</v>
      </c>
      <c r="O38" s="50">
        <f t="shared" si="9"/>
        <v>60000</v>
      </c>
      <c r="P38" s="13"/>
    </row>
    <row r="39" spans="2:16" ht="12.75">
      <c r="B39" s="116"/>
      <c r="C39" s="117" t="s">
        <v>54</v>
      </c>
      <c r="D39" s="97"/>
      <c r="E39" s="30">
        <v>528838</v>
      </c>
      <c r="F39" s="31"/>
      <c r="G39" s="47">
        <f t="shared" si="10"/>
        <v>528838</v>
      </c>
      <c r="H39" s="30"/>
      <c r="I39" s="97">
        <v>139497.34</v>
      </c>
      <c r="J39" s="98"/>
      <c r="K39" s="29">
        <f t="shared" si="5"/>
        <v>139497.34</v>
      </c>
      <c r="L39" s="30">
        <f t="shared" si="6"/>
        <v>0</v>
      </c>
      <c r="M39" s="29">
        <f t="shared" si="7"/>
        <v>389340.66000000003</v>
      </c>
      <c r="N39" s="50">
        <f t="shared" si="8"/>
        <v>0</v>
      </c>
      <c r="O39" s="50">
        <f t="shared" si="9"/>
        <v>389340.66000000003</v>
      </c>
      <c r="P39" s="13"/>
    </row>
    <row r="40" spans="2:16" ht="12.75">
      <c r="B40" s="116"/>
      <c r="C40" s="117" t="s">
        <v>55</v>
      </c>
      <c r="D40" s="97"/>
      <c r="E40" s="30"/>
      <c r="F40" s="31"/>
      <c r="G40" s="47">
        <f t="shared" si="10"/>
        <v>0</v>
      </c>
      <c r="H40" s="30"/>
      <c r="I40" s="97"/>
      <c r="J40" s="98"/>
      <c r="K40" s="29">
        <f t="shared" si="5"/>
        <v>0</v>
      </c>
      <c r="L40" s="30">
        <f t="shared" si="6"/>
        <v>0</v>
      </c>
      <c r="M40" s="29">
        <f t="shared" si="7"/>
        <v>0</v>
      </c>
      <c r="N40" s="50">
        <f t="shared" si="8"/>
        <v>0</v>
      </c>
      <c r="O40" s="50">
        <f t="shared" si="9"/>
        <v>0</v>
      </c>
      <c r="P40" s="13"/>
    </row>
    <row r="41" spans="2:16" ht="12.75">
      <c r="B41" s="116"/>
      <c r="C41" s="117" t="s">
        <v>22</v>
      </c>
      <c r="D41" s="97"/>
      <c r="E41" s="30">
        <f>16100+24000</f>
        <v>40100</v>
      </c>
      <c r="F41" s="31"/>
      <c r="G41" s="47">
        <f t="shared" si="10"/>
        <v>40100</v>
      </c>
      <c r="H41" s="30"/>
      <c r="I41" s="97"/>
      <c r="J41" s="98"/>
      <c r="K41" s="29">
        <f t="shared" si="5"/>
        <v>0</v>
      </c>
      <c r="L41" s="30">
        <f t="shared" si="6"/>
        <v>0</v>
      </c>
      <c r="M41" s="29">
        <f t="shared" si="7"/>
        <v>40100</v>
      </c>
      <c r="N41" s="50">
        <f t="shared" si="8"/>
        <v>0</v>
      </c>
      <c r="O41" s="50">
        <f t="shared" si="9"/>
        <v>40100</v>
      </c>
      <c r="P41" s="13"/>
    </row>
    <row r="42" spans="2:16" ht="12.75">
      <c r="B42" s="132"/>
      <c r="C42" s="158" t="s">
        <v>17</v>
      </c>
      <c r="D42" s="77"/>
      <c r="E42" s="76">
        <v>35000</v>
      </c>
      <c r="F42" s="71"/>
      <c r="G42" s="72">
        <f t="shared" si="10"/>
        <v>35000</v>
      </c>
      <c r="H42" s="76"/>
      <c r="I42" s="77">
        <v>12600.36</v>
      </c>
      <c r="J42" s="78"/>
      <c r="K42" s="75">
        <f>I42</f>
        <v>12600.36</v>
      </c>
      <c r="L42" s="106">
        <f>+D42-H42</f>
        <v>0</v>
      </c>
      <c r="M42" s="22">
        <f>+E42-I42</f>
        <v>22399.64</v>
      </c>
      <c r="N42" s="105">
        <f>+F42-J42</f>
        <v>0</v>
      </c>
      <c r="O42" s="73">
        <f>+L42+M42+N42</f>
        <v>22399.64</v>
      </c>
      <c r="P42" s="13"/>
    </row>
    <row r="43" spans="2:16" ht="12.75">
      <c r="B43" s="114"/>
      <c r="C43" s="159"/>
      <c r="D43" s="147"/>
      <c r="E43" s="166"/>
      <c r="F43" s="153"/>
      <c r="G43" s="149"/>
      <c r="H43" s="148"/>
      <c r="I43" s="147"/>
      <c r="J43" s="151"/>
      <c r="K43" s="152"/>
      <c r="L43" s="148"/>
      <c r="M43" s="152"/>
      <c r="N43" s="153"/>
      <c r="O43" s="153"/>
      <c r="P43" s="13"/>
    </row>
    <row r="44" spans="2:16" ht="12.75">
      <c r="B44" s="162" t="s">
        <v>24</v>
      </c>
      <c r="C44" s="163"/>
      <c r="D44" s="164">
        <f>D45</f>
        <v>0</v>
      </c>
      <c r="E44" s="161"/>
      <c r="F44" s="167"/>
      <c r="G44" s="165">
        <f aca="true" t="shared" si="11" ref="G44:O44">G45</f>
        <v>0</v>
      </c>
      <c r="H44" s="161">
        <f t="shared" si="11"/>
        <v>0</v>
      </c>
      <c r="I44" s="161">
        <f t="shared" si="11"/>
        <v>0</v>
      </c>
      <c r="J44" s="161"/>
      <c r="K44" s="161">
        <f t="shared" si="11"/>
        <v>0</v>
      </c>
      <c r="L44" s="161">
        <f t="shared" si="11"/>
        <v>0</v>
      </c>
      <c r="M44" s="161">
        <f t="shared" si="11"/>
        <v>0</v>
      </c>
      <c r="N44" s="161"/>
      <c r="O44" s="161">
        <f t="shared" si="11"/>
        <v>0</v>
      </c>
      <c r="P44" s="13"/>
    </row>
    <row r="45" spans="2:16" ht="12.75">
      <c r="B45" s="129" t="s">
        <v>25</v>
      </c>
      <c r="C45" s="137"/>
      <c r="D45" s="77"/>
      <c r="E45" s="76"/>
      <c r="F45" s="71"/>
      <c r="G45" s="72">
        <f>D45</f>
        <v>0</v>
      </c>
      <c r="H45" s="76"/>
      <c r="I45" s="77"/>
      <c r="J45" s="78"/>
      <c r="K45" s="75">
        <f>H45</f>
        <v>0</v>
      </c>
      <c r="L45" s="76">
        <f>H45-K45</f>
        <v>0</v>
      </c>
      <c r="M45" s="75">
        <f>G45-K45</f>
        <v>0</v>
      </c>
      <c r="N45" s="73"/>
      <c r="O45" s="73">
        <f>M45</f>
        <v>0</v>
      </c>
      <c r="P45" s="13"/>
    </row>
    <row r="46" spans="2:16" ht="9.75" customHeight="1">
      <c r="B46" s="100"/>
      <c r="C46" s="141"/>
      <c r="D46" s="124"/>
      <c r="E46" s="22"/>
      <c r="F46" s="34"/>
      <c r="G46" s="34"/>
      <c r="H46" s="22"/>
      <c r="I46" s="22"/>
      <c r="J46" s="101"/>
      <c r="K46" s="22"/>
      <c r="L46" s="22"/>
      <c r="M46" s="22"/>
      <c r="N46" s="34"/>
      <c r="O46" s="34"/>
      <c r="P46" s="13"/>
    </row>
    <row r="47" spans="2:16" ht="12.75">
      <c r="B47" s="122" t="s">
        <v>29</v>
      </c>
      <c r="C47" s="142"/>
      <c r="D47" s="96">
        <f aca="true" t="shared" si="12" ref="D47:I47">D49+D53+D78</f>
        <v>0.68</v>
      </c>
      <c r="E47" s="96">
        <f t="shared" si="12"/>
        <v>9699472.96</v>
      </c>
      <c r="F47" s="96">
        <f t="shared" si="12"/>
        <v>1322</v>
      </c>
      <c r="G47" s="96">
        <f t="shared" si="12"/>
        <v>9700795.64</v>
      </c>
      <c r="H47" s="96">
        <f t="shared" si="12"/>
        <v>0.68</v>
      </c>
      <c r="I47" s="96">
        <f t="shared" si="12"/>
        <v>3340303.3700000006</v>
      </c>
      <c r="J47" s="96"/>
      <c r="K47" s="96">
        <f>K49+K53+K78</f>
        <v>3341626.0500000007</v>
      </c>
      <c r="L47" s="96">
        <f>L49+L53+L78</f>
        <v>0</v>
      </c>
      <c r="M47" s="96">
        <f>M49+M53+M78</f>
        <v>6359169.59</v>
      </c>
      <c r="N47" s="96">
        <f>N49+N53+N78</f>
        <v>0</v>
      </c>
      <c r="O47" s="96">
        <f>O49+O53+O78</f>
        <v>6359169.59</v>
      </c>
      <c r="P47" s="13"/>
    </row>
    <row r="48" spans="2:16" ht="12.75">
      <c r="B48" s="178"/>
      <c r="C48" s="179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3"/>
    </row>
    <row r="49" spans="2:16" ht="12.75">
      <c r="B49" s="131" t="s">
        <v>19</v>
      </c>
      <c r="C49" s="138"/>
      <c r="D49" s="19">
        <f aca="true" t="shared" si="13" ref="D49:N49">D50+D51</f>
        <v>0.54</v>
      </c>
      <c r="E49" s="19">
        <f t="shared" si="13"/>
        <v>32217.46</v>
      </c>
      <c r="F49" s="19">
        <f t="shared" si="13"/>
        <v>575</v>
      </c>
      <c r="G49" s="19">
        <f t="shared" si="13"/>
        <v>32793</v>
      </c>
      <c r="H49" s="19">
        <f t="shared" si="13"/>
        <v>0.54</v>
      </c>
      <c r="I49" s="19">
        <f t="shared" si="13"/>
        <v>27010.37</v>
      </c>
      <c r="J49" s="19">
        <f t="shared" si="13"/>
        <v>575</v>
      </c>
      <c r="K49" s="19">
        <f t="shared" si="13"/>
        <v>27585.91</v>
      </c>
      <c r="L49" s="19">
        <f t="shared" si="13"/>
        <v>0</v>
      </c>
      <c r="M49" s="19">
        <f t="shared" si="13"/>
        <v>5207.090000000003</v>
      </c>
      <c r="N49" s="19">
        <f t="shared" si="13"/>
        <v>0</v>
      </c>
      <c r="O49" s="19">
        <f>O50+O51</f>
        <v>5207.090000000003</v>
      </c>
      <c r="P49" s="13"/>
    </row>
    <row r="50" spans="2:16" ht="12.75">
      <c r="B50" s="133"/>
      <c r="C50" s="136" t="s">
        <v>20</v>
      </c>
      <c r="D50" s="99">
        <v>0.54</v>
      </c>
      <c r="E50" s="28">
        <v>12945.22</v>
      </c>
      <c r="F50" s="79">
        <v>575</v>
      </c>
      <c r="G50" s="41">
        <f>F50+E50+D50</f>
        <v>13520.76</v>
      </c>
      <c r="H50" s="28">
        <v>0.54</v>
      </c>
      <c r="I50" s="99">
        <f>6762.81+1294.32</f>
        <v>8057.13</v>
      </c>
      <c r="J50" s="25">
        <v>575</v>
      </c>
      <c r="K50" s="27">
        <f>J50+I50+H50</f>
        <v>8632.670000000002</v>
      </c>
      <c r="L50" s="25">
        <f>D50-H50</f>
        <v>0</v>
      </c>
      <c r="M50" s="24">
        <f>E50-I50</f>
        <v>4888.089999999999</v>
      </c>
      <c r="N50" s="25">
        <f>F50-J50</f>
        <v>0</v>
      </c>
      <c r="O50" s="42">
        <f>M50+N50+L50</f>
        <v>4888.089999999999</v>
      </c>
      <c r="P50" s="13"/>
    </row>
    <row r="51" spans="2:16" ht="12.75">
      <c r="B51" s="129"/>
      <c r="C51" s="137" t="s">
        <v>16</v>
      </c>
      <c r="D51" s="77"/>
      <c r="E51" s="73">
        <v>19272.24</v>
      </c>
      <c r="F51" s="71"/>
      <c r="G51" s="72">
        <f>F51+E51</f>
        <v>19272.24</v>
      </c>
      <c r="H51" s="76"/>
      <c r="I51" s="77">
        <f>2879.24+16074</f>
        <v>18953.239999999998</v>
      </c>
      <c r="J51" s="78"/>
      <c r="K51" s="75">
        <f>J51+I51+H51</f>
        <v>18953.239999999998</v>
      </c>
      <c r="L51" s="76"/>
      <c r="M51" s="75">
        <f>G51-K51</f>
        <v>319.00000000000364</v>
      </c>
      <c r="N51" s="73"/>
      <c r="O51" s="73">
        <f>+N51+M51+L51</f>
        <v>319.00000000000364</v>
      </c>
      <c r="P51" s="13"/>
    </row>
    <row r="52" spans="2:16" ht="12.75">
      <c r="B52" s="168"/>
      <c r="C52" s="141"/>
      <c r="D52" s="124"/>
      <c r="E52" s="153"/>
      <c r="F52" s="34"/>
      <c r="G52" s="46"/>
      <c r="H52" s="106"/>
      <c r="I52" s="124"/>
      <c r="J52" s="160"/>
      <c r="K52" s="22"/>
      <c r="L52" s="106"/>
      <c r="M52" s="22"/>
      <c r="N52" s="105"/>
      <c r="O52" s="105"/>
      <c r="P52" s="13"/>
    </row>
    <row r="53" spans="2:16" ht="12.75">
      <c r="B53" s="123" t="s">
        <v>12</v>
      </c>
      <c r="C53" s="139"/>
      <c r="D53" s="55">
        <f aca="true" t="shared" si="14" ref="D53:I53">SUM(D54:D76)</f>
        <v>0.14</v>
      </c>
      <c r="E53" s="55">
        <f t="shared" si="14"/>
        <v>9667255.5</v>
      </c>
      <c r="F53" s="55">
        <f t="shared" si="14"/>
        <v>747</v>
      </c>
      <c r="G53" s="55">
        <f t="shared" si="14"/>
        <v>9668002.64</v>
      </c>
      <c r="H53" s="55">
        <f t="shared" si="14"/>
        <v>0.14</v>
      </c>
      <c r="I53" s="55">
        <f t="shared" si="14"/>
        <v>3313293.0000000005</v>
      </c>
      <c r="J53" s="55"/>
      <c r="K53" s="55">
        <f>SUM(K54:K76)</f>
        <v>3314040.1400000006</v>
      </c>
      <c r="L53" s="55"/>
      <c r="M53" s="55">
        <f>SUM(M54:M76)</f>
        <v>6353962.5</v>
      </c>
      <c r="N53" s="55"/>
      <c r="O53" s="55">
        <f>SUM(O54:O76)</f>
        <v>6353962.5</v>
      </c>
      <c r="P53" s="13"/>
    </row>
    <row r="54" spans="2:16" ht="12.75">
      <c r="B54" s="114"/>
      <c r="C54" s="159" t="s">
        <v>13</v>
      </c>
      <c r="D54" s="68"/>
      <c r="E54" s="69">
        <v>78262.91</v>
      </c>
      <c r="F54" s="70"/>
      <c r="G54" s="44">
        <f>SUM(E54:F54)</f>
        <v>78262.91</v>
      </c>
      <c r="H54" s="68">
        <v>0</v>
      </c>
      <c r="I54" s="44">
        <f>1437.5+5858.88+8119.2</f>
        <v>15415.58</v>
      </c>
      <c r="J54" s="69"/>
      <c r="K54" s="112">
        <f>SUM(H54:J54)</f>
        <v>15415.58</v>
      </c>
      <c r="L54" s="47">
        <f aca="true" t="shared" si="15" ref="L54:N55">+D54-H54</f>
        <v>0</v>
      </c>
      <c r="M54" s="47">
        <f t="shared" si="15"/>
        <v>62847.33</v>
      </c>
      <c r="N54" s="50">
        <f t="shared" si="15"/>
        <v>0</v>
      </c>
      <c r="O54" s="66">
        <f>SUM(L54:N54)</f>
        <v>62847.33</v>
      </c>
      <c r="P54" s="13"/>
    </row>
    <row r="55" spans="2:16" ht="12.75">
      <c r="B55" s="116"/>
      <c r="C55" s="117" t="s">
        <v>36</v>
      </c>
      <c r="D55" s="110"/>
      <c r="E55" s="32">
        <f>72000+104000+46000+46000</f>
        <v>268000</v>
      </c>
      <c r="F55" s="111"/>
      <c r="G55" s="47">
        <f>E55</f>
        <v>268000</v>
      </c>
      <c r="H55" s="110"/>
      <c r="I55" s="41">
        <f>176000+92000</f>
        <v>268000</v>
      </c>
      <c r="J55" s="32"/>
      <c r="K55" s="50">
        <f>SUM(H55:J55)</f>
        <v>268000</v>
      </c>
      <c r="L55" s="47">
        <f t="shared" si="15"/>
        <v>0</v>
      </c>
      <c r="M55" s="47">
        <f t="shared" si="15"/>
        <v>0</v>
      </c>
      <c r="N55" s="50">
        <f t="shared" si="15"/>
        <v>0</v>
      </c>
      <c r="O55" s="66">
        <f>M55+N55+L55</f>
        <v>0</v>
      </c>
      <c r="P55" s="13"/>
    </row>
    <row r="56" spans="2:16" ht="12.75">
      <c r="B56" s="116"/>
      <c r="C56" s="117" t="s">
        <v>30</v>
      </c>
      <c r="D56" s="41">
        <v>0.14</v>
      </c>
      <c r="E56" s="32"/>
      <c r="F56" s="111"/>
      <c r="G56" s="47">
        <f>E56+D56</f>
        <v>0.14</v>
      </c>
      <c r="H56" s="41">
        <v>0.14</v>
      </c>
      <c r="I56" s="41"/>
      <c r="J56" s="32"/>
      <c r="K56" s="50">
        <f aca="true" t="shared" si="16" ref="K56:K76">SUM(H56:J56)</f>
        <v>0.14</v>
      </c>
      <c r="L56" s="47">
        <f aca="true" t="shared" si="17" ref="L56:L75">+D56-H56</f>
        <v>0</v>
      </c>
      <c r="M56" s="47">
        <f aca="true" t="shared" si="18" ref="M56:M75">+E56-I56</f>
        <v>0</v>
      </c>
      <c r="N56" s="50">
        <f aca="true" t="shared" si="19" ref="N56:N75">+F56-J56</f>
        <v>0</v>
      </c>
      <c r="O56" s="66">
        <f aca="true" t="shared" si="20" ref="O56:O76">M56+N56+L56</f>
        <v>0</v>
      </c>
      <c r="P56" s="13"/>
    </row>
    <row r="57" spans="2:16" ht="12.75">
      <c r="B57" s="116"/>
      <c r="C57" s="117" t="s">
        <v>31</v>
      </c>
      <c r="D57" s="64"/>
      <c r="E57" s="35">
        <v>11163.26</v>
      </c>
      <c r="F57" s="63"/>
      <c r="G57" s="47">
        <f>E57</f>
        <v>11163.26</v>
      </c>
      <c r="H57" s="64"/>
      <c r="I57" s="47">
        <v>4258</v>
      </c>
      <c r="J57" s="35"/>
      <c r="K57" s="50">
        <f t="shared" si="16"/>
        <v>4258</v>
      </c>
      <c r="L57" s="47">
        <f t="shared" si="17"/>
        <v>0</v>
      </c>
      <c r="M57" s="47">
        <f t="shared" si="18"/>
        <v>6905.26</v>
      </c>
      <c r="N57" s="50">
        <f t="shared" si="19"/>
        <v>0</v>
      </c>
      <c r="O57" s="66">
        <f t="shared" si="20"/>
        <v>6905.26</v>
      </c>
      <c r="P57" s="13"/>
    </row>
    <row r="58" spans="2:16" ht="12.75">
      <c r="B58" s="116"/>
      <c r="C58" s="117" t="s">
        <v>47</v>
      </c>
      <c r="D58" s="64"/>
      <c r="E58" s="35">
        <f>436406.22+1016850</f>
        <v>1453256.22</v>
      </c>
      <c r="F58" s="63"/>
      <c r="G58" s="47">
        <f aca="true" t="shared" si="21" ref="G58:G67">+E58</f>
        <v>1453256.22</v>
      </c>
      <c r="H58" s="64"/>
      <c r="I58" s="47">
        <f>7475.75+18899+39453</f>
        <v>65827.75</v>
      </c>
      <c r="J58" s="35"/>
      <c r="K58" s="50">
        <f>SUM(H58:J58)</f>
        <v>65827.75</v>
      </c>
      <c r="L58" s="47">
        <f t="shared" si="17"/>
        <v>0</v>
      </c>
      <c r="M58" s="47">
        <f t="shared" si="18"/>
        <v>1387428.47</v>
      </c>
      <c r="N58" s="50">
        <f t="shared" si="19"/>
        <v>0</v>
      </c>
      <c r="O58" s="66">
        <f t="shared" si="20"/>
        <v>1387428.47</v>
      </c>
      <c r="P58" s="13"/>
    </row>
    <row r="59" spans="2:16" ht="12.75">
      <c r="B59" s="116"/>
      <c r="C59" s="117" t="s">
        <v>48</v>
      </c>
      <c r="D59" s="64"/>
      <c r="E59" s="35">
        <f>506520.65+411510</f>
        <v>918030.65</v>
      </c>
      <c r="F59" s="63"/>
      <c r="G59" s="47">
        <f t="shared" si="21"/>
        <v>918030.65</v>
      </c>
      <c r="H59" s="64"/>
      <c r="I59" s="47">
        <v>23223</v>
      </c>
      <c r="J59" s="35"/>
      <c r="K59" s="50">
        <f t="shared" si="16"/>
        <v>23223</v>
      </c>
      <c r="L59" s="47">
        <f t="shared" si="17"/>
        <v>0</v>
      </c>
      <c r="M59" s="47">
        <f t="shared" si="18"/>
        <v>894807.65</v>
      </c>
      <c r="N59" s="50">
        <f t="shared" si="19"/>
        <v>0</v>
      </c>
      <c r="O59" s="66">
        <f t="shared" si="20"/>
        <v>894807.65</v>
      </c>
      <c r="P59" s="13"/>
    </row>
    <row r="60" spans="2:16" ht="12.75">
      <c r="B60" s="116"/>
      <c r="C60" s="117" t="s">
        <v>49</v>
      </c>
      <c r="D60" s="64"/>
      <c r="E60" s="35">
        <v>152587.85</v>
      </c>
      <c r="F60" s="63"/>
      <c r="G60" s="47">
        <f t="shared" si="21"/>
        <v>152587.85</v>
      </c>
      <c r="H60" s="64"/>
      <c r="I60" s="47">
        <f>6830+6070</f>
        <v>12900</v>
      </c>
      <c r="J60" s="35"/>
      <c r="K60" s="50">
        <f t="shared" si="16"/>
        <v>12900</v>
      </c>
      <c r="L60" s="47">
        <f t="shared" si="17"/>
        <v>0</v>
      </c>
      <c r="M60" s="47">
        <f t="shared" si="18"/>
        <v>139687.85</v>
      </c>
      <c r="N60" s="50">
        <f t="shared" si="19"/>
        <v>0</v>
      </c>
      <c r="O60" s="66">
        <f t="shared" si="20"/>
        <v>139687.85</v>
      </c>
      <c r="P60" s="13"/>
    </row>
    <row r="61" spans="2:16" ht="12.75">
      <c r="B61" s="116"/>
      <c r="C61" s="117" t="s">
        <v>27</v>
      </c>
      <c r="D61" s="64"/>
      <c r="E61" s="35">
        <v>339233.32</v>
      </c>
      <c r="F61" s="63"/>
      <c r="G61" s="47">
        <f t="shared" si="21"/>
        <v>339233.32</v>
      </c>
      <c r="H61" s="64">
        <v>0</v>
      </c>
      <c r="I61" s="47">
        <f>67040+69040.58+29064.41</f>
        <v>165144.99000000002</v>
      </c>
      <c r="J61" s="35"/>
      <c r="K61" s="50">
        <f t="shared" si="16"/>
        <v>165144.99000000002</v>
      </c>
      <c r="L61" s="47">
        <f t="shared" si="17"/>
        <v>0</v>
      </c>
      <c r="M61" s="47">
        <f t="shared" si="18"/>
        <v>174088.33</v>
      </c>
      <c r="N61" s="50">
        <f t="shared" si="19"/>
        <v>0</v>
      </c>
      <c r="O61" s="66">
        <f t="shared" si="20"/>
        <v>174088.33</v>
      </c>
      <c r="P61" s="13"/>
    </row>
    <row r="62" spans="2:16" ht="12.75">
      <c r="B62" s="116"/>
      <c r="C62" s="117" t="s">
        <v>57</v>
      </c>
      <c r="D62" s="64"/>
      <c r="E62" s="35">
        <f>444762+250605</f>
        <v>695367</v>
      </c>
      <c r="F62" s="63"/>
      <c r="G62" s="47">
        <f t="shared" si="21"/>
        <v>695367</v>
      </c>
      <c r="H62" s="64"/>
      <c r="I62" s="47">
        <f>9920+1920+116651.42</f>
        <v>128491.42</v>
      </c>
      <c r="J62" s="35"/>
      <c r="K62" s="50">
        <f t="shared" si="16"/>
        <v>128491.42</v>
      </c>
      <c r="L62" s="47">
        <f t="shared" si="17"/>
        <v>0</v>
      </c>
      <c r="M62" s="47">
        <f t="shared" si="18"/>
        <v>566875.58</v>
      </c>
      <c r="N62" s="50">
        <f t="shared" si="19"/>
        <v>0</v>
      </c>
      <c r="O62" s="66">
        <f t="shared" si="20"/>
        <v>566875.58</v>
      </c>
      <c r="P62" s="13"/>
    </row>
    <row r="63" spans="2:16" ht="12.75">
      <c r="B63" s="116"/>
      <c r="C63" s="117" t="s">
        <v>28</v>
      </c>
      <c r="D63" s="64"/>
      <c r="E63" s="35">
        <v>15483.8</v>
      </c>
      <c r="F63" s="49"/>
      <c r="G63" s="47">
        <f t="shared" si="21"/>
        <v>15483.8</v>
      </c>
      <c r="H63" s="64">
        <v>0</v>
      </c>
      <c r="I63" s="47">
        <f>6352+9131.8</f>
        <v>15483.8</v>
      </c>
      <c r="J63" s="35"/>
      <c r="K63" s="50">
        <f t="shared" si="16"/>
        <v>15483.8</v>
      </c>
      <c r="L63" s="47">
        <f t="shared" si="17"/>
        <v>0</v>
      </c>
      <c r="M63" s="47">
        <f t="shared" si="18"/>
        <v>0</v>
      </c>
      <c r="N63" s="50">
        <f t="shared" si="19"/>
        <v>0</v>
      </c>
      <c r="O63" s="66">
        <f t="shared" si="20"/>
        <v>0</v>
      </c>
      <c r="P63" s="13"/>
    </row>
    <row r="64" spans="2:16" ht="12.75">
      <c r="B64" s="116"/>
      <c r="C64" s="117" t="s">
        <v>43</v>
      </c>
      <c r="D64" s="64"/>
      <c r="E64" s="35">
        <v>53382.89</v>
      </c>
      <c r="F64" s="49"/>
      <c r="G64" s="47">
        <f t="shared" si="21"/>
        <v>53382.89</v>
      </c>
      <c r="H64" s="64">
        <v>0</v>
      </c>
      <c r="I64" s="47">
        <f>9500+4232.29</f>
        <v>13732.29</v>
      </c>
      <c r="J64" s="65"/>
      <c r="K64" s="50">
        <f t="shared" si="16"/>
        <v>13732.29</v>
      </c>
      <c r="L64" s="47">
        <f t="shared" si="17"/>
        <v>0</v>
      </c>
      <c r="M64" s="47">
        <f t="shared" si="18"/>
        <v>39650.6</v>
      </c>
      <c r="N64" s="50">
        <f t="shared" si="19"/>
        <v>0</v>
      </c>
      <c r="O64" s="66">
        <f t="shared" si="20"/>
        <v>39650.6</v>
      </c>
      <c r="P64" s="13"/>
    </row>
    <row r="65" spans="2:16" ht="12.75">
      <c r="B65" s="116"/>
      <c r="C65" s="117" t="s">
        <v>51</v>
      </c>
      <c r="D65" s="47"/>
      <c r="E65" s="35"/>
      <c r="F65" s="31"/>
      <c r="G65" s="47">
        <f t="shared" si="21"/>
        <v>0</v>
      </c>
      <c r="H65" s="48"/>
      <c r="I65" s="48"/>
      <c r="J65" s="48"/>
      <c r="K65" s="50">
        <f t="shared" si="16"/>
        <v>0</v>
      </c>
      <c r="L65" s="47">
        <f t="shared" si="17"/>
        <v>0</v>
      </c>
      <c r="M65" s="47">
        <f t="shared" si="18"/>
        <v>0</v>
      </c>
      <c r="N65" s="50">
        <f t="shared" si="19"/>
        <v>0</v>
      </c>
      <c r="O65" s="66">
        <f t="shared" si="20"/>
        <v>0</v>
      </c>
      <c r="P65" s="13"/>
    </row>
    <row r="66" spans="2:16" ht="12.75">
      <c r="B66" s="116"/>
      <c r="C66" s="117" t="s">
        <v>32</v>
      </c>
      <c r="D66" s="47"/>
      <c r="E66" s="35">
        <v>10805</v>
      </c>
      <c r="F66" s="31"/>
      <c r="G66" s="47">
        <f t="shared" si="21"/>
        <v>10805</v>
      </c>
      <c r="H66" s="48">
        <v>0</v>
      </c>
      <c r="I66" s="48">
        <v>7225.7</v>
      </c>
      <c r="J66" s="48"/>
      <c r="K66" s="50">
        <f t="shared" si="16"/>
        <v>7225.7</v>
      </c>
      <c r="L66" s="47">
        <f t="shared" si="17"/>
        <v>0</v>
      </c>
      <c r="M66" s="47">
        <f t="shared" si="18"/>
        <v>3579.3</v>
      </c>
      <c r="N66" s="50">
        <f t="shared" si="19"/>
        <v>0</v>
      </c>
      <c r="O66" s="66">
        <f>M66+N66+L66</f>
        <v>3579.3</v>
      </c>
      <c r="P66" s="13"/>
    </row>
    <row r="67" spans="2:16" ht="27.75">
      <c r="B67" s="134"/>
      <c r="C67" s="118" t="s">
        <v>33</v>
      </c>
      <c r="D67" s="47"/>
      <c r="E67" s="35">
        <v>453134.76</v>
      </c>
      <c r="F67" s="31"/>
      <c r="G67" s="47">
        <f t="shared" si="21"/>
        <v>453134.76</v>
      </c>
      <c r="H67" s="48"/>
      <c r="I67" s="48">
        <f>87710+54300+188298</f>
        <v>330308</v>
      </c>
      <c r="J67" s="48"/>
      <c r="K67" s="50">
        <f t="shared" si="16"/>
        <v>330308</v>
      </c>
      <c r="L67" s="47">
        <f t="shared" si="17"/>
        <v>0</v>
      </c>
      <c r="M67" s="47">
        <f t="shared" si="18"/>
        <v>122826.76000000001</v>
      </c>
      <c r="N67" s="50">
        <f t="shared" si="19"/>
        <v>0</v>
      </c>
      <c r="O67" s="66">
        <f t="shared" si="20"/>
        <v>122826.76000000001</v>
      </c>
      <c r="P67" s="13"/>
    </row>
    <row r="68" spans="2:16" ht="18.75">
      <c r="B68" s="134"/>
      <c r="C68" s="118" t="s">
        <v>52</v>
      </c>
      <c r="D68" s="47"/>
      <c r="E68" s="35">
        <f>736.34</f>
        <v>736.34</v>
      </c>
      <c r="F68" s="31">
        <v>747</v>
      </c>
      <c r="G68" s="47">
        <f aca="true" t="shared" si="22" ref="G68:G74">+E68+F68</f>
        <v>1483.3400000000001</v>
      </c>
      <c r="H68" s="48"/>
      <c r="I68" s="48">
        <v>736.34</v>
      </c>
      <c r="J68" s="48">
        <v>747</v>
      </c>
      <c r="K68" s="50">
        <f t="shared" si="16"/>
        <v>1483.3400000000001</v>
      </c>
      <c r="L68" s="47">
        <f t="shared" si="17"/>
        <v>0</v>
      </c>
      <c r="M68" s="47">
        <f t="shared" si="18"/>
        <v>0</v>
      </c>
      <c r="N68" s="50">
        <f t="shared" si="19"/>
        <v>0</v>
      </c>
      <c r="O68" s="66">
        <f t="shared" si="20"/>
        <v>0</v>
      </c>
      <c r="P68" s="13"/>
    </row>
    <row r="69" spans="2:16" ht="12.75">
      <c r="B69" s="134"/>
      <c r="C69" s="118" t="s">
        <v>53</v>
      </c>
      <c r="D69" s="47"/>
      <c r="E69" s="35">
        <v>6488.79</v>
      </c>
      <c r="F69" s="31"/>
      <c r="G69" s="47">
        <f t="shared" si="22"/>
        <v>6488.79</v>
      </c>
      <c r="H69" s="48"/>
      <c r="I69" s="48">
        <v>1550</v>
      </c>
      <c r="J69" s="48"/>
      <c r="K69" s="50">
        <f t="shared" si="16"/>
        <v>1550</v>
      </c>
      <c r="L69" s="47">
        <f t="shared" si="17"/>
        <v>0</v>
      </c>
      <c r="M69" s="47">
        <f t="shared" si="18"/>
        <v>4938.79</v>
      </c>
      <c r="N69" s="50">
        <f t="shared" si="19"/>
        <v>0</v>
      </c>
      <c r="O69" s="66">
        <f t="shared" si="20"/>
        <v>4938.79</v>
      </c>
      <c r="P69" s="13"/>
    </row>
    <row r="70" spans="2:16" ht="12.75">
      <c r="B70" s="116"/>
      <c r="C70" s="117" t="s">
        <v>44</v>
      </c>
      <c r="D70" s="47"/>
      <c r="E70" s="35">
        <v>1425283.31</v>
      </c>
      <c r="F70" s="31"/>
      <c r="G70" s="47">
        <f t="shared" si="22"/>
        <v>1425283.31</v>
      </c>
      <c r="H70" s="48"/>
      <c r="I70" s="48">
        <f>191769.35+476141.59+240732.22</f>
        <v>908643.16</v>
      </c>
      <c r="J70" s="48"/>
      <c r="K70" s="50">
        <f t="shared" si="16"/>
        <v>908643.16</v>
      </c>
      <c r="L70" s="47">
        <f t="shared" si="17"/>
        <v>0</v>
      </c>
      <c r="M70" s="47">
        <f t="shared" si="18"/>
        <v>516640.15</v>
      </c>
      <c r="N70" s="50">
        <f t="shared" si="19"/>
        <v>0</v>
      </c>
      <c r="O70" s="66">
        <f t="shared" si="20"/>
        <v>516640.15</v>
      </c>
      <c r="P70" s="13"/>
    </row>
    <row r="71" spans="2:16" ht="12.75">
      <c r="B71" s="116"/>
      <c r="C71" s="117" t="s">
        <v>45</v>
      </c>
      <c r="D71" s="47"/>
      <c r="E71" s="35">
        <v>2468785.0100000002</v>
      </c>
      <c r="F71" s="31"/>
      <c r="G71" s="47">
        <f t="shared" si="22"/>
        <v>2468785.0100000002</v>
      </c>
      <c r="H71" s="48"/>
      <c r="I71" s="48">
        <f>51258.83+201318.95+524526.17</f>
        <v>777103.9500000001</v>
      </c>
      <c r="J71" s="48"/>
      <c r="K71" s="50">
        <f t="shared" si="16"/>
        <v>777103.9500000001</v>
      </c>
      <c r="L71" s="47">
        <f t="shared" si="17"/>
        <v>0</v>
      </c>
      <c r="M71" s="47">
        <f t="shared" si="18"/>
        <v>1691681.06</v>
      </c>
      <c r="N71" s="50">
        <f t="shared" si="19"/>
        <v>0</v>
      </c>
      <c r="O71" s="66">
        <f t="shared" si="20"/>
        <v>1691681.06</v>
      </c>
      <c r="P71" s="13"/>
    </row>
    <row r="72" spans="2:16" ht="12.75">
      <c r="B72" s="116"/>
      <c r="C72" s="117" t="s">
        <v>46</v>
      </c>
      <c r="D72" s="47"/>
      <c r="E72" s="35">
        <f>1298500.55+18430</f>
        <v>1316930.55</v>
      </c>
      <c r="F72" s="31"/>
      <c r="G72" s="47">
        <f t="shared" si="22"/>
        <v>1316930.55</v>
      </c>
      <c r="H72" s="48"/>
      <c r="I72" s="48">
        <f>18056.58+68880.77+488311.67</f>
        <v>575249.02</v>
      </c>
      <c r="J72" s="48"/>
      <c r="K72" s="50">
        <f t="shared" si="16"/>
        <v>575249.02</v>
      </c>
      <c r="L72" s="47">
        <f t="shared" si="17"/>
        <v>0</v>
      </c>
      <c r="M72" s="47">
        <f t="shared" si="18"/>
        <v>741681.53</v>
      </c>
      <c r="N72" s="50">
        <f t="shared" si="19"/>
        <v>0</v>
      </c>
      <c r="O72" s="66">
        <f t="shared" si="20"/>
        <v>741681.53</v>
      </c>
      <c r="P72" s="13"/>
    </row>
    <row r="73" spans="2:16" ht="12.75">
      <c r="B73" s="116"/>
      <c r="C73" s="117" t="s">
        <v>54</v>
      </c>
      <c r="D73" s="47"/>
      <c r="E73" s="35"/>
      <c r="F73" s="31"/>
      <c r="G73" s="47">
        <f t="shared" si="22"/>
        <v>0</v>
      </c>
      <c r="H73" s="48"/>
      <c r="I73" s="48"/>
      <c r="J73" s="48"/>
      <c r="K73" s="50">
        <f t="shared" si="16"/>
        <v>0</v>
      </c>
      <c r="L73" s="47">
        <f t="shared" si="17"/>
        <v>0</v>
      </c>
      <c r="M73" s="47">
        <f t="shared" si="18"/>
        <v>0</v>
      </c>
      <c r="N73" s="50">
        <f t="shared" si="19"/>
        <v>0</v>
      </c>
      <c r="O73" s="66">
        <f t="shared" si="20"/>
        <v>0</v>
      </c>
      <c r="P73" s="13"/>
    </row>
    <row r="74" spans="2:16" ht="12.75">
      <c r="B74" s="116"/>
      <c r="C74" s="117" t="s">
        <v>55</v>
      </c>
      <c r="D74" s="47"/>
      <c r="E74" s="35"/>
      <c r="F74" s="31"/>
      <c r="G74" s="47">
        <f t="shared" si="22"/>
        <v>0</v>
      </c>
      <c r="H74" s="48"/>
      <c r="I74" s="48"/>
      <c r="J74" s="48"/>
      <c r="K74" s="50">
        <f t="shared" si="16"/>
        <v>0</v>
      </c>
      <c r="L74" s="47">
        <f t="shared" si="17"/>
        <v>0</v>
      </c>
      <c r="M74" s="47">
        <f t="shared" si="18"/>
        <v>0</v>
      </c>
      <c r="N74" s="50">
        <f t="shared" si="19"/>
        <v>0</v>
      </c>
      <c r="O74" s="66">
        <f t="shared" si="20"/>
        <v>0</v>
      </c>
      <c r="P74" s="13"/>
    </row>
    <row r="75" spans="2:16" ht="12.75">
      <c r="B75" s="116"/>
      <c r="C75" s="117" t="s">
        <v>22</v>
      </c>
      <c r="D75" s="64"/>
      <c r="E75" s="35">
        <v>323.839999999999</v>
      </c>
      <c r="F75" s="63"/>
      <c r="G75" s="47">
        <f>+E75</f>
        <v>323.839999999999</v>
      </c>
      <c r="H75" s="64"/>
      <c r="I75" s="47"/>
      <c r="J75" s="35"/>
      <c r="K75" s="50">
        <f t="shared" si="16"/>
        <v>0</v>
      </c>
      <c r="L75" s="47">
        <f t="shared" si="17"/>
        <v>0</v>
      </c>
      <c r="M75" s="47">
        <f t="shared" si="18"/>
        <v>323.839999999999</v>
      </c>
      <c r="N75" s="50">
        <f t="shared" si="19"/>
        <v>0</v>
      </c>
      <c r="O75" s="66">
        <f t="shared" si="20"/>
        <v>323.839999999999</v>
      </c>
      <c r="P75" s="13"/>
    </row>
    <row r="76" spans="2:16" ht="12.75">
      <c r="B76" s="132"/>
      <c r="C76" s="158" t="s">
        <v>17</v>
      </c>
      <c r="D76" s="72"/>
      <c r="E76" s="175"/>
      <c r="F76" s="71"/>
      <c r="G76" s="72">
        <f>+E76</f>
        <v>0</v>
      </c>
      <c r="H76" s="176"/>
      <c r="I76" s="176"/>
      <c r="J76" s="176"/>
      <c r="K76" s="73">
        <f t="shared" si="16"/>
        <v>0</v>
      </c>
      <c r="L76" s="176"/>
      <c r="M76" s="72"/>
      <c r="N76" s="175"/>
      <c r="O76" s="177">
        <f t="shared" si="20"/>
        <v>0</v>
      </c>
      <c r="P76" s="13"/>
    </row>
    <row r="77" spans="2:16" ht="12.75">
      <c r="B77" s="169"/>
      <c r="C77" s="119"/>
      <c r="D77" s="46"/>
      <c r="E77" s="62"/>
      <c r="F77" s="34"/>
      <c r="G77" s="46"/>
      <c r="H77" s="127"/>
      <c r="I77" s="127"/>
      <c r="J77" s="127"/>
      <c r="K77" s="46"/>
      <c r="L77" s="127"/>
      <c r="M77" s="46"/>
      <c r="N77" s="127"/>
      <c r="O77" s="105"/>
      <c r="P77" s="13"/>
    </row>
    <row r="78" spans="2:16" ht="12.75">
      <c r="B78" s="131" t="s">
        <v>10</v>
      </c>
      <c r="C78" s="138"/>
      <c r="D78" s="125">
        <v>0</v>
      </c>
      <c r="E78" s="51">
        <f>SUM(E79:E82)</f>
        <v>0</v>
      </c>
      <c r="F78" s="51">
        <f aca="true" t="shared" si="23" ref="F78:O78">SUM(F79:F82)</f>
        <v>0</v>
      </c>
      <c r="G78" s="51">
        <f t="shared" si="23"/>
        <v>0</v>
      </c>
      <c r="H78" s="51">
        <f t="shared" si="23"/>
        <v>0</v>
      </c>
      <c r="I78" s="51">
        <f t="shared" si="23"/>
        <v>0</v>
      </c>
      <c r="J78" s="51">
        <f t="shared" si="23"/>
        <v>0</v>
      </c>
      <c r="K78" s="51">
        <f t="shared" si="23"/>
        <v>0</v>
      </c>
      <c r="L78" s="51"/>
      <c r="M78" s="51">
        <f>SUM(M79:M82)</f>
        <v>0</v>
      </c>
      <c r="N78" s="51"/>
      <c r="O78" s="74">
        <f t="shared" si="23"/>
        <v>0</v>
      </c>
      <c r="P78" s="13"/>
    </row>
    <row r="79" spans="2:16" ht="12.75">
      <c r="B79" s="115" t="s">
        <v>14</v>
      </c>
      <c r="C79" s="143"/>
      <c r="D79" s="126">
        <v>0</v>
      </c>
      <c r="E79" s="41"/>
      <c r="F79" s="42">
        <v>0</v>
      </c>
      <c r="G79" s="28">
        <f>+F79+E79</f>
        <v>0</v>
      </c>
      <c r="H79" s="42">
        <v>0</v>
      </c>
      <c r="I79" s="28"/>
      <c r="J79" s="42"/>
      <c r="K79" s="27">
        <f>+J79+I79+H79</f>
        <v>0</v>
      </c>
      <c r="L79" s="43"/>
      <c r="M79" s="29">
        <f>G79-K79</f>
        <v>0</v>
      </c>
      <c r="N79" s="28"/>
      <c r="O79" s="28">
        <f>N79+M79+L79</f>
        <v>0</v>
      </c>
      <c r="P79" s="13"/>
    </row>
    <row r="80" spans="2:16" ht="12.75">
      <c r="B80" s="115" t="s">
        <v>34</v>
      </c>
      <c r="C80" s="143"/>
      <c r="D80" s="126"/>
      <c r="E80" s="41"/>
      <c r="F80" s="42">
        <v>0</v>
      </c>
      <c r="G80" s="28">
        <f>+F80+E80</f>
        <v>0</v>
      </c>
      <c r="H80" s="42"/>
      <c r="I80" s="32"/>
      <c r="J80" s="42"/>
      <c r="K80" s="27">
        <f>+J80+I80+H80</f>
        <v>0</v>
      </c>
      <c r="L80" s="43"/>
      <c r="M80" s="29">
        <f>G80-K80</f>
        <v>0</v>
      </c>
      <c r="N80" s="28"/>
      <c r="O80" s="28">
        <f>N80+M80+L80</f>
        <v>0</v>
      </c>
      <c r="P80" s="13"/>
    </row>
    <row r="81" spans="2:16" ht="12.75">
      <c r="B81" s="115" t="s">
        <v>35</v>
      </c>
      <c r="C81" s="144"/>
      <c r="D81" s="127"/>
      <c r="E81" s="46"/>
      <c r="F81" s="105"/>
      <c r="G81" s="106">
        <f>+E81</f>
        <v>0</v>
      </c>
      <c r="H81" s="105"/>
      <c r="I81" s="62"/>
      <c r="J81" s="105"/>
      <c r="K81" s="22">
        <f>I81</f>
        <v>0</v>
      </c>
      <c r="L81" s="107"/>
      <c r="M81" s="29">
        <f>G81-K81</f>
        <v>0</v>
      </c>
      <c r="N81" s="106"/>
      <c r="O81" s="28">
        <f>N81+M81+L81</f>
        <v>0</v>
      </c>
      <c r="P81" s="13"/>
    </row>
    <row r="82" spans="2:16" ht="13.5" thickBot="1">
      <c r="B82" s="120" t="s">
        <v>18</v>
      </c>
      <c r="C82" s="145"/>
      <c r="D82" s="80"/>
      <c r="E82" s="81"/>
      <c r="F82" s="82"/>
      <c r="G82" s="83">
        <f>+F82+E82</f>
        <v>0</v>
      </c>
      <c r="H82" s="82"/>
      <c r="I82" s="84"/>
      <c r="J82" s="82"/>
      <c r="K82" s="85">
        <f>+J82+I82</f>
        <v>0</v>
      </c>
      <c r="L82" s="86"/>
      <c r="M82" s="85">
        <f>G82-K82</f>
        <v>0</v>
      </c>
      <c r="N82" s="83"/>
      <c r="O82" s="83">
        <f>N82+M82</f>
        <v>0</v>
      </c>
      <c r="P82" s="13"/>
    </row>
    <row r="83" spans="2:16" ht="18" customHeight="1" thickBot="1" thickTop="1">
      <c r="B83" s="94" t="s">
        <v>26</v>
      </c>
      <c r="C83" s="121"/>
      <c r="D83" s="95">
        <f aca="true" t="shared" si="24" ref="D83:O83">D47+D7</f>
        <v>198727000.68</v>
      </c>
      <c r="E83" s="95">
        <f t="shared" si="24"/>
        <v>57785793.96</v>
      </c>
      <c r="F83" s="95">
        <f t="shared" si="24"/>
        <v>4061322</v>
      </c>
      <c r="G83" s="95">
        <f t="shared" si="24"/>
        <v>260574116.64</v>
      </c>
      <c r="H83" s="95">
        <f t="shared" si="24"/>
        <v>57464349.70999999</v>
      </c>
      <c r="I83" s="95">
        <f t="shared" si="24"/>
        <v>11490750.4</v>
      </c>
      <c r="J83" s="95">
        <f t="shared" si="24"/>
        <v>3900000</v>
      </c>
      <c r="K83" s="95">
        <f t="shared" si="24"/>
        <v>72881422.11</v>
      </c>
      <c r="L83" s="95">
        <f t="shared" si="24"/>
        <v>137113685.57999998</v>
      </c>
      <c r="M83" s="95">
        <f t="shared" si="24"/>
        <v>46295043.56</v>
      </c>
      <c r="N83" s="95">
        <f t="shared" si="24"/>
        <v>0</v>
      </c>
      <c r="O83" s="108">
        <f t="shared" si="24"/>
        <v>187692694.52999997</v>
      </c>
      <c r="P83" s="13"/>
    </row>
    <row r="84" spans="2:16" ht="18" customHeight="1" thickTop="1">
      <c r="B84" s="170"/>
      <c r="C84" s="170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3"/>
    </row>
    <row r="85" spans="1:16" ht="12.75" customHeight="1">
      <c r="A85" s="52"/>
      <c r="B85" s="8" t="s">
        <v>1</v>
      </c>
      <c r="C85" s="8"/>
      <c r="D85" s="9"/>
      <c r="E85" s="9"/>
      <c r="F85" s="59"/>
      <c r="G85" s="59"/>
      <c r="H85" s="57"/>
      <c r="I85" s="57"/>
      <c r="J85" s="60"/>
      <c r="K85" s="36"/>
      <c r="L85" s="16"/>
      <c r="M85" s="6" t="s">
        <v>2</v>
      </c>
      <c r="N85" s="6"/>
      <c r="O85" s="6"/>
      <c r="P85" s="13"/>
    </row>
    <row r="86" spans="1:16" ht="12.75" customHeight="1">
      <c r="A86" s="52"/>
      <c r="B86" s="8"/>
      <c r="C86" s="8"/>
      <c r="D86" s="9"/>
      <c r="E86" s="9"/>
      <c r="F86" s="56"/>
      <c r="G86" s="59"/>
      <c r="H86" s="57"/>
      <c r="I86" s="57"/>
      <c r="J86" s="60"/>
      <c r="K86" s="36"/>
      <c r="L86" s="16"/>
      <c r="M86" s="57"/>
      <c r="N86" s="57"/>
      <c r="O86" s="57"/>
      <c r="P86" s="13"/>
    </row>
    <row r="87" spans="1:16" ht="12.75" customHeight="1">
      <c r="A87" s="52"/>
      <c r="B87" s="172" t="s">
        <v>41</v>
      </c>
      <c r="C87" s="2"/>
      <c r="D87" s="2"/>
      <c r="E87" s="2"/>
      <c r="F87" s="7"/>
      <c r="G87" s="7"/>
      <c r="H87" s="57"/>
      <c r="I87" s="57"/>
      <c r="J87" s="3"/>
      <c r="K87" s="36"/>
      <c r="M87" s="182" t="s">
        <v>11</v>
      </c>
      <c r="N87" s="182"/>
      <c r="O87" s="182"/>
      <c r="P87" s="13"/>
    </row>
    <row r="88" spans="1:16" ht="12.75" customHeight="1">
      <c r="A88" s="52"/>
      <c r="B88" s="173" t="s">
        <v>42</v>
      </c>
      <c r="C88" s="58"/>
      <c r="D88" s="9"/>
      <c r="E88" s="9"/>
      <c r="F88" s="7"/>
      <c r="G88" s="6"/>
      <c r="H88" s="57"/>
      <c r="I88" s="57"/>
      <c r="J88" s="3"/>
      <c r="K88" s="10"/>
      <c r="M88" s="33" t="s">
        <v>0</v>
      </c>
      <c r="N88" s="33"/>
      <c r="O88" s="33"/>
      <c r="P88" s="13"/>
    </row>
    <row r="89" spans="1:16" ht="12.75" customHeight="1">
      <c r="A89" s="52"/>
      <c r="B89" s="173"/>
      <c r="C89" s="58"/>
      <c r="D89" s="9"/>
      <c r="E89" s="9"/>
      <c r="F89" s="7"/>
      <c r="G89" s="6"/>
      <c r="H89" s="57"/>
      <c r="I89" s="57"/>
      <c r="J89" s="3"/>
      <c r="K89" s="10"/>
      <c r="M89" s="33"/>
      <c r="N89" s="33"/>
      <c r="O89" s="33"/>
      <c r="P89" s="13"/>
    </row>
    <row r="90" spans="1:16" ht="6" customHeight="1">
      <c r="A90" s="52"/>
      <c r="B90" s="3"/>
      <c r="C90" s="3"/>
      <c r="D90" s="37"/>
      <c r="E90" s="3"/>
      <c r="F90" s="3"/>
      <c r="G90" s="4"/>
      <c r="H90" s="4"/>
      <c r="I90" s="1"/>
      <c r="J90" s="3"/>
      <c r="K90" s="10"/>
      <c r="M90" s="4"/>
      <c r="N90" s="1"/>
      <c r="O90" s="3"/>
      <c r="P90" s="13"/>
    </row>
    <row r="91" spans="1:16" ht="6" customHeight="1">
      <c r="A91" s="52"/>
      <c r="D91" s="38"/>
      <c r="P91" s="13"/>
    </row>
    <row r="92" spans="1:16" ht="6" customHeight="1">
      <c r="A92" s="52"/>
      <c r="B92" s="53"/>
      <c r="C92" s="53"/>
      <c r="D92" s="45"/>
      <c r="E92" s="34"/>
      <c r="F92" s="34"/>
      <c r="G92" s="22"/>
      <c r="H92" s="34"/>
      <c r="I92" s="45"/>
      <c r="J92" s="23"/>
      <c r="K92" s="22"/>
      <c r="L92" s="54"/>
      <c r="M92" s="22"/>
      <c r="N92" s="22"/>
      <c r="O92" s="22"/>
      <c r="P92" s="13"/>
    </row>
    <row r="93" spans="1:16" ht="6" customHeight="1">
      <c r="A93" s="52"/>
      <c r="B93" s="53"/>
      <c r="C93" s="53"/>
      <c r="D93" s="45"/>
      <c r="E93" s="34"/>
      <c r="F93" s="34"/>
      <c r="G93" s="22"/>
      <c r="H93" s="34"/>
      <c r="I93" s="45"/>
      <c r="J93" s="23"/>
      <c r="K93" s="22"/>
      <c r="L93" s="54"/>
      <c r="M93" s="22"/>
      <c r="N93" s="22"/>
      <c r="O93" s="22"/>
      <c r="P93" s="13"/>
    </row>
    <row r="94" spans="1:16" ht="6" customHeight="1">
      <c r="A94" s="52"/>
      <c r="B94" s="53"/>
      <c r="C94" s="53"/>
      <c r="D94" s="45"/>
      <c r="E94" s="34"/>
      <c r="F94" s="34"/>
      <c r="G94" s="22"/>
      <c r="H94" s="34"/>
      <c r="I94" s="45"/>
      <c r="J94" s="23"/>
      <c r="K94" s="22"/>
      <c r="L94" s="54"/>
      <c r="M94" s="22"/>
      <c r="N94" s="22"/>
      <c r="O94" s="22"/>
      <c r="P94" s="13"/>
    </row>
    <row r="95" spans="1:16" ht="6" customHeight="1">
      <c r="A95" s="52"/>
      <c r="B95" s="53"/>
      <c r="C95" s="53"/>
      <c r="D95" s="45"/>
      <c r="E95" s="34"/>
      <c r="F95" s="34"/>
      <c r="G95" s="22"/>
      <c r="H95" s="34"/>
      <c r="I95" s="45"/>
      <c r="J95" s="23"/>
      <c r="K95" s="22"/>
      <c r="L95" s="54"/>
      <c r="M95" s="22"/>
      <c r="N95" s="22"/>
      <c r="O95" s="22"/>
      <c r="P95" s="13"/>
    </row>
    <row r="96" spans="1:16" ht="6" customHeight="1">
      <c r="A96" s="52"/>
      <c r="B96" s="53"/>
      <c r="C96" s="53"/>
      <c r="D96" s="45"/>
      <c r="E96" s="34"/>
      <c r="F96" s="34"/>
      <c r="G96" s="22"/>
      <c r="H96" s="34"/>
      <c r="I96" s="45"/>
      <c r="J96" s="23"/>
      <c r="K96" s="22"/>
      <c r="L96" s="54"/>
      <c r="M96" s="22"/>
      <c r="N96" s="22"/>
      <c r="O96" s="22"/>
      <c r="P96" s="13"/>
    </row>
    <row r="97" spans="1:16" ht="6" customHeight="1">
      <c r="A97" s="52"/>
      <c r="B97" s="53"/>
      <c r="C97" s="53"/>
      <c r="D97" s="45"/>
      <c r="E97" s="34"/>
      <c r="F97" s="34"/>
      <c r="G97" s="22"/>
      <c r="H97" s="34"/>
      <c r="I97" s="45"/>
      <c r="J97" s="23"/>
      <c r="K97" s="22"/>
      <c r="L97" s="54"/>
      <c r="M97" s="22"/>
      <c r="N97" s="22"/>
      <c r="O97" s="22"/>
      <c r="P97" s="13"/>
    </row>
    <row r="98" spans="1:16" ht="6" customHeight="1">
      <c r="A98" s="52"/>
      <c r="B98" s="53"/>
      <c r="C98" s="53"/>
      <c r="D98" s="45"/>
      <c r="E98" s="34"/>
      <c r="F98" s="34"/>
      <c r="G98" s="22"/>
      <c r="H98" s="34"/>
      <c r="I98" s="45"/>
      <c r="J98" s="23"/>
      <c r="K98" s="22"/>
      <c r="L98" s="54"/>
      <c r="M98" s="22"/>
      <c r="N98" s="22"/>
      <c r="O98" s="22"/>
      <c r="P98" s="13"/>
    </row>
    <row r="99" spans="1:16" ht="6" customHeight="1">
      <c r="A99" s="52"/>
      <c r="B99" s="53"/>
      <c r="C99" s="53"/>
      <c r="D99" s="45"/>
      <c r="E99" s="34"/>
      <c r="F99" s="34"/>
      <c r="G99" s="22"/>
      <c r="H99" s="34"/>
      <c r="I99" s="45"/>
      <c r="J99" s="23"/>
      <c r="K99" s="22"/>
      <c r="L99" s="54"/>
      <c r="M99" s="22"/>
      <c r="N99" s="22"/>
      <c r="O99" s="22"/>
      <c r="P99" s="13"/>
    </row>
    <row r="100" spans="1:16" ht="6" customHeight="1">
      <c r="A100" s="52"/>
      <c r="B100" s="53"/>
      <c r="C100" s="53"/>
      <c r="D100" s="45"/>
      <c r="E100" s="34"/>
      <c r="F100" s="34"/>
      <c r="G100" s="22"/>
      <c r="H100" s="34"/>
      <c r="I100" s="45"/>
      <c r="J100" s="23"/>
      <c r="K100" s="22"/>
      <c r="L100" s="54"/>
      <c r="M100" s="22"/>
      <c r="N100" s="22"/>
      <c r="O100" s="22"/>
      <c r="P100" s="13"/>
    </row>
    <row r="101" spans="1:16" ht="6" customHeight="1">
      <c r="A101" s="52"/>
      <c r="B101" s="53"/>
      <c r="C101" s="53"/>
      <c r="D101" s="45"/>
      <c r="E101" s="34"/>
      <c r="F101" s="34"/>
      <c r="G101" s="22"/>
      <c r="H101" s="34"/>
      <c r="I101" s="45"/>
      <c r="J101" s="23"/>
      <c r="K101" s="22"/>
      <c r="L101" s="54"/>
      <c r="M101" s="22"/>
      <c r="N101" s="22"/>
      <c r="O101" s="22"/>
      <c r="P101" s="13"/>
    </row>
    <row r="102" spans="1:16" ht="6" customHeight="1">
      <c r="A102" s="52"/>
      <c r="B102" s="53"/>
      <c r="C102" s="53"/>
      <c r="D102" s="45"/>
      <c r="E102" s="34"/>
      <c r="F102" s="34"/>
      <c r="G102" s="22"/>
      <c r="H102" s="34"/>
      <c r="I102" s="45"/>
      <c r="J102" s="23"/>
      <c r="K102" s="22"/>
      <c r="L102" s="54"/>
      <c r="M102" s="22"/>
      <c r="N102" s="22"/>
      <c r="O102" s="22"/>
      <c r="P102" s="13"/>
    </row>
    <row r="103" spans="1:16" ht="6" customHeight="1">
      <c r="A103" s="52"/>
      <c r="B103" s="53"/>
      <c r="C103" s="53"/>
      <c r="D103" s="45"/>
      <c r="E103" s="34"/>
      <c r="F103" s="34"/>
      <c r="G103" s="22"/>
      <c r="H103" s="34"/>
      <c r="I103" s="45"/>
      <c r="J103" s="23"/>
      <c r="K103" s="22"/>
      <c r="L103" s="54"/>
      <c r="M103" s="22"/>
      <c r="N103" s="22"/>
      <c r="O103" s="22"/>
      <c r="P103" s="13"/>
    </row>
    <row r="104" spans="1:16" ht="6" customHeight="1">
      <c r="A104" s="52"/>
      <c r="B104" s="53"/>
      <c r="C104" s="53"/>
      <c r="D104" s="45"/>
      <c r="E104" s="34"/>
      <c r="F104" s="34"/>
      <c r="G104" s="22"/>
      <c r="H104" s="34"/>
      <c r="I104" s="45"/>
      <c r="J104" s="23"/>
      <c r="K104" s="22"/>
      <c r="L104" s="54"/>
      <c r="M104" s="22"/>
      <c r="N104" s="22"/>
      <c r="O104" s="22"/>
      <c r="P104" s="13"/>
    </row>
    <row r="105" spans="1:16" ht="6" customHeight="1">
      <c r="A105" s="52"/>
      <c r="B105" s="53"/>
      <c r="C105" s="53"/>
      <c r="D105" s="45"/>
      <c r="E105" s="34"/>
      <c r="F105" s="34"/>
      <c r="G105" s="22"/>
      <c r="H105" s="34"/>
      <c r="I105" s="45"/>
      <c r="J105" s="23"/>
      <c r="K105" s="22"/>
      <c r="L105" s="54"/>
      <c r="M105" s="22"/>
      <c r="N105" s="22"/>
      <c r="O105" s="22"/>
      <c r="P105" s="13"/>
    </row>
    <row r="106" spans="1:16" ht="6" customHeight="1">
      <c r="A106" s="52"/>
      <c r="B106" s="53"/>
      <c r="C106" s="53"/>
      <c r="D106" s="45"/>
      <c r="E106" s="34"/>
      <c r="F106" s="34"/>
      <c r="G106" s="22"/>
      <c r="H106" s="34"/>
      <c r="I106" s="45"/>
      <c r="J106" s="23"/>
      <c r="K106" s="22"/>
      <c r="L106" s="54"/>
      <c r="M106" s="22"/>
      <c r="N106" s="22"/>
      <c r="O106" s="22"/>
      <c r="P106" s="13"/>
    </row>
    <row r="107" spans="1:16" ht="6" customHeight="1">
      <c r="A107" s="52"/>
      <c r="B107" s="53"/>
      <c r="C107" s="53"/>
      <c r="D107" s="45"/>
      <c r="E107" s="34"/>
      <c r="F107" s="34"/>
      <c r="G107" s="22"/>
      <c r="H107" s="34"/>
      <c r="I107" s="45"/>
      <c r="J107" s="23"/>
      <c r="K107" s="22"/>
      <c r="L107" s="54"/>
      <c r="M107" s="22"/>
      <c r="N107" s="22"/>
      <c r="O107" s="22"/>
      <c r="P107" s="13"/>
    </row>
    <row r="108" spans="1:16" ht="6" customHeight="1">
      <c r="A108" s="52"/>
      <c r="B108" s="53"/>
      <c r="C108" s="53"/>
      <c r="D108" s="45"/>
      <c r="E108" s="34"/>
      <c r="F108" s="34"/>
      <c r="G108" s="22"/>
      <c r="H108" s="34"/>
      <c r="I108" s="45"/>
      <c r="J108" s="23"/>
      <c r="K108" s="22"/>
      <c r="L108" s="54"/>
      <c r="M108" s="22"/>
      <c r="N108" s="22"/>
      <c r="O108" s="22"/>
      <c r="P108" s="13"/>
    </row>
    <row r="109" spans="1:16" ht="6" customHeight="1">
      <c r="A109" s="52"/>
      <c r="B109" s="53"/>
      <c r="C109" s="53"/>
      <c r="D109" s="45"/>
      <c r="E109" s="34"/>
      <c r="F109" s="34"/>
      <c r="G109" s="22"/>
      <c r="H109" s="34"/>
      <c r="I109" s="45"/>
      <c r="J109" s="23"/>
      <c r="K109" s="22"/>
      <c r="L109" s="54"/>
      <c r="M109" s="22"/>
      <c r="N109" s="22"/>
      <c r="O109" s="22"/>
      <c r="P109" s="13"/>
    </row>
    <row r="110" spans="1:16" ht="6" customHeight="1">
      <c r="A110" s="52"/>
      <c r="B110" s="53"/>
      <c r="C110" s="53"/>
      <c r="D110" s="45"/>
      <c r="E110" s="34"/>
      <c r="F110" s="34"/>
      <c r="G110" s="22"/>
      <c r="H110" s="34"/>
      <c r="I110" s="45"/>
      <c r="J110" s="23"/>
      <c r="K110" s="22"/>
      <c r="L110" s="54"/>
      <c r="M110" s="22"/>
      <c r="N110" s="22"/>
      <c r="O110" s="22"/>
      <c r="P110" s="13"/>
    </row>
    <row r="111" spans="1:16" ht="6" customHeight="1">
      <c r="A111" s="52"/>
      <c r="B111" s="53"/>
      <c r="C111" s="53"/>
      <c r="D111" s="45"/>
      <c r="E111" s="34"/>
      <c r="F111" s="34"/>
      <c r="G111" s="22"/>
      <c r="H111" s="34"/>
      <c r="I111" s="45"/>
      <c r="J111" s="23"/>
      <c r="K111" s="22"/>
      <c r="L111" s="54"/>
      <c r="M111" s="22"/>
      <c r="N111" s="22"/>
      <c r="O111" s="22"/>
      <c r="P111" s="13"/>
    </row>
    <row r="112" spans="1:16" ht="6" customHeight="1">
      <c r="A112" s="52"/>
      <c r="B112" s="53"/>
      <c r="C112" s="53"/>
      <c r="D112" s="45"/>
      <c r="E112" s="34"/>
      <c r="F112" s="34"/>
      <c r="G112" s="22"/>
      <c r="H112" s="34"/>
      <c r="I112" s="45"/>
      <c r="J112" s="23"/>
      <c r="K112" s="22"/>
      <c r="L112" s="54"/>
      <c r="M112" s="22"/>
      <c r="N112" s="22"/>
      <c r="O112" s="22"/>
      <c r="P112" s="13"/>
    </row>
    <row r="113" spans="1:16" ht="6" customHeight="1">
      <c r="A113" s="52"/>
      <c r="B113" s="53"/>
      <c r="C113" s="53"/>
      <c r="D113" s="45"/>
      <c r="E113" s="34"/>
      <c r="F113" s="34"/>
      <c r="G113" s="22"/>
      <c r="H113" s="34"/>
      <c r="I113" s="45"/>
      <c r="J113" s="23"/>
      <c r="K113" s="22"/>
      <c r="L113" s="54"/>
      <c r="M113" s="22"/>
      <c r="N113" s="22"/>
      <c r="O113" s="22"/>
      <c r="P113" s="13"/>
    </row>
    <row r="114" spans="1:16" ht="6" customHeight="1">
      <c r="A114" s="52"/>
      <c r="B114" s="53"/>
      <c r="C114" s="53"/>
      <c r="D114" s="45"/>
      <c r="E114" s="34"/>
      <c r="F114" s="34"/>
      <c r="G114" s="22"/>
      <c r="H114" s="34"/>
      <c r="I114" s="45"/>
      <c r="J114" s="23"/>
      <c r="K114" s="22"/>
      <c r="L114" s="54"/>
      <c r="M114" s="22"/>
      <c r="N114" s="22"/>
      <c r="O114" s="22"/>
      <c r="P114" s="13"/>
    </row>
    <row r="115" spans="1:16" ht="6" customHeight="1">
      <c r="A115" s="52"/>
      <c r="B115" s="53"/>
      <c r="C115" s="53"/>
      <c r="D115" s="45"/>
      <c r="E115" s="34"/>
      <c r="F115" s="34"/>
      <c r="G115" s="22"/>
      <c r="H115" s="34"/>
      <c r="I115" s="45"/>
      <c r="J115" s="23"/>
      <c r="K115" s="22"/>
      <c r="L115" s="54"/>
      <c r="M115" s="22"/>
      <c r="N115" s="22"/>
      <c r="O115" s="22"/>
      <c r="P115" s="13"/>
    </row>
    <row r="116" spans="1:16" ht="6" customHeight="1">
      <c r="A116" s="52"/>
      <c r="B116" s="53"/>
      <c r="C116" s="53"/>
      <c r="D116" s="45"/>
      <c r="E116" s="34"/>
      <c r="F116" s="34"/>
      <c r="G116" s="22"/>
      <c r="H116" s="34"/>
      <c r="I116" s="45"/>
      <c r="J116" s="23"/>
      <c r="K116" s="22"/>
      <c r="L116" s="54"/>
      <c r="M116" s="22"/>
      <c r="N116" s="22"/>
      <c r="O116" s="22"/>
      <c r="P116" s="13"/>
    </row>
    <row r="117" spans="1:16" ht="6" customHeight="1">
      <c r="A117" s="52"/>
      <c r="B117" s="53"/>
      <c r="C117" s="53"/>
      <c r="D117" s="45"/>
      <c r="E117" s="34"/>
      <c r="F117" s="34"/>
      <c r="G117" s="22"/>
      <c r="H117" s="34"/>
      <c r="I117" s="45"/>
      <c r="J117" s="23"/>
      <c r="K117" s="22"/>
      <c r="L117" s="54"/>
      <c r="M117" s="22"/>
      <c r="N117" s="22"/>
      <c r="O117" s="22"/>
      <c r="P117" s="13"/>
    </row>
    <row r="118" spans="1:16" ht="6" customHeight="1">
      <c r="A118" s="52"/>
      <c r="B118" s="53"/>
      <c r="C118" s="53"/>
      <c r="D118" s="45"/>
      <c r="E118" s="34"/>
      <c r="F118" s="34"/>
      <c r="G118" s="22"/>
      <c r="H118" s="34"/>
      <c r="I118" s="45"/>
      <c r="J118" s="23"/>
      <c r="K118" s="22"/>
      <c r="L118" s="54"/>
      <c r="M118" s="22"/>
      <c r="N118" s="22"/>
      <c r="O118" s="22"/>
      <c r="P118" s="13"/>
    </row>
    <row r="119" spans="1:16" ht="6" customHeight="1">
      <c r="A119" s="52"/>
      <c r="B119" s="53"/>
      <c r="C119" s="53"/>
      <c r="D119" s="45"/>
      <c r="E119" s="34"/>
      <c r="F119" s="34"/>
      <c r="G119" s="22"/>
      <c r="H119" s="34"/>
      <c r="I119" s="45"/>
      <c r="J119" s="23"/>
      <c r="K119" s="22"/>
      <c r="L119" s="54"/>
      <c r="M119" s="22"/>
      <c r="N119" s="22"/>
      <c r="O119" s="22"/>
      <c r="P119" s="13"/>
    </row>
    <row r="120" spans="1:16" ht="6" customHeight="1">
      <c r="A120" s="52"/>
      <c r="B120" s="53"/>
      <c r="C120" s="53"/>
      <c r="D120" s="45"/>
      <c r="E120" s="34"/>
      <c r="F120" s="34"/>
      <c r="G120" s="22"/>
      <c r="H120" s="34"/>
      <c r="I120" s="45"/>
      <c r="J120" s="23"/>
      <c r="K120" s="22"/>
      <c r="L120" s="54"/>
      <c r="M120" s="22"/>
      <c r="N120" s="22"/>
      <c r="O120" s="22"/>
      <c r="P120" s="13"/>
    </row>
    <row r="121" spans="1:16" ht="6" customHeight="1">
      <c r="A121" s="52"/>
      <c r="B121" s="53"/>
      <c r="C121" s="53"/>
      <c r="D121" s="45"/>
      <c r="E121" s="34"/>
      <c r="F121" s="34"/>
      <c r="G121" s="22"/>
      <c r="H121" s="34"/>
      <c r="I121" s="45"/>
      <c r="J121" s="23"/>
      <c r="K121" s="22"/>
      <c r="L121" s="54"/>
      <c r="M121" s="22"/>
      <c r="N121" s="22"/>
      <c r="O121" s="22"/>
      <c r="P121" s="13"/>
    </row>
    <row r="122" spans="1:16" ht="6" customHeight="1">
      <c r="A122" s="52"/>
      <c r="B122" s="53"/>
      <c r="C122" s="53"/>
      <c r="D122" s="45"/>
      <c r="E122" s="34"/>
      <c r="F122" s="34"/>
      <c r="G122" s="22"/>
      <c r="H122" s="34"/>
      <c r="I122" s="45"/>
      <c r="J122" s="23"/>
      <c r="K122" s="22"/>
      <c r="L122" s="54"/>
      <c r="M122" s="22"/>
      <c r="N122" s="22"/>
      <c r="O122" s="22"/>
      <c r="P122" s="13"/>
    </row>
    <row r="123" spans="1:16" ht="6" customHeight="1">
      <c r="A123" s="52"/>
      <c r="B123" s="53"/>
      <c r="C123" s="53"/>
      <c r="D123" s="45"/>
      <c r="E123" s="34"/>
      <c r="F123" s="34"/>
      <c r="G123" s="22"/>
      <c r="H123" s="34"/>
      <c r="I123" s="45"/>
      <c r="J123" s="23"/>
      <c r="K123" s="22"/>
      <c r="L123" s="54"/>
      <c r="M123" s="22"/>
      <c r="N123" s="22"/>
      <c r="O123" s="22"/>
      <c r="P123" s="13"/>
    </row>
    <row r="124" spans="1:16" ht="12.75">
      <c r="A124" s="52"/>
      <c r="B124" s="53"/>
      <c r="C124" s="53"/>
      <c r="D124" s="45"/>
      <c r="E124" s="34"/>
      <c r="F124" s="34"/>
      <c r="G124" s="22"/>
      <c r="H124" s="34"/>
      <c r="I124" s="45"/>
      <c r="J124" s="23"/>
      <c r="K124" s="22"/>
      <c r="L124" s="54"/>
      <c r="M124" s="22"/>
      <c r="N124" s="22"/>
      <c r="O124" s="22"/>
      <c r="P124" s="13"/>
    </row>
    <row r="125" spans="1:16" ht="12.75">
      <c r="A125" s="52"/>
      <c r="B125" s="53"/>
      <c r="C125" s="53"/>
      <c r="D125" s="45"/>
      <c r="E125" s="34"/>
      <c r="F125" s="34"/>
      <c r="G125" s="22"/>
      <c r="H125" s="34"/>
      <c r="I125" s="45"/>
      <c r="J125" s="23"/>
      <c r="K125" s="22"/>
      <c r="L125" s="54"/>
      <c r="M125" s="22"/>
      <c r="N125" s="22"/>
      <c r="O125" s="22"/>
      <c r="P125" s="13"/>
    </row>
    <row r="126" spans="1:16" ht="12.75">
      <c r="A126" s="52"/>
      <c r="B126" s="53"/>
      <c r="C126" s="53"/>
      <c r="D126" s="45"/>
      <c r="E126" s="34"/>
      <c r="F126" s="34"/>
      <c r="G126" s="22"/>
      <c r="H126" s="34"/>
      <c r="I126" s="45"/>
      <c r="J126" s="23"/>
      <c r="K126" s="22"/>
      <c r="L126" s="54"/>
      <c r="M126" s="22"/>
      <c r="N126" s="22"/>
      <c r="O126" s="22"/>
      <c r="P126" s="13"/>
    </row>
    <row r="127" spans="1:16" ht="12.75">
      <c r="A127" s="52"/>
      <c r="B127" s="53"/>
      <c r="C127" s="53"/>
      <c r="D127" s="45"/>
      <c r="E127" s="34"/>
      <c r="F127" s="34"/>
      <c r="G127" s="22"/>
      <c r="H127" s="34"/>
      <c r="I127" s="45"/>
      <c r="J127" s="23"/>
      <c r="K127" s="22"/>
      <c r="L127" s="54"/>
      <c r="M127" s="22"/>
      <c r="N127" s="22"/>
      <c r="O127" s="22"/>
      <c r="P127" s="13"/>
    </row>
    <row r="128" spans="1:16" ht="12.75">
      <c r="A128" s="52"/>
      <c r="B128" s="53"/>
      <c r="C128" s="53"/>
      <c r="D128" s="45"/>
      <c r="E128" s="34"/>
      <c r="F128" s="34"/>
      <c r="G128" s="22"/>
      <c r="H128" s="34"/>
      <c r="I128" s="45"/>
      <c r="J128" s="23"/>
      <c r="K128" s="22"/>
      <c r="L128" s="54"/>
      <c r="M128" s="22"/>
      <c r="N128" s="22"/>
      <c r="O128" s="22"/>
      <c r="P128" s="13"/>
    </row>
    <row r="129" spans="1:16" ht="12.75">
      <c r="A129" s="52"/>
      <c r="B129" s="53"/>
      <c r="C129" s="53"/>
      <c r="D129" s="45"/>
      <c r="E129" s="34"/>
      <c r="F129" s="34"/>
      <c r="G129" s="22"/>
      <c r="H129" s="34"/>
      <c r="I129" s="45"/>
      <c r="J129" s="23"/>
      <c r="K129" s="22"/>
      <c r="L129" s="54"/>
      <c r="M129" s="22"/>
      <c r="N129" s="22"/>
      <c r="O129" s="22"/>
      <c r="P129" s="13"/>
    </row>
    <row r="130" spans="1:16" ht="12.75">
      <c r="A130" s="52"/>
      <c r="B130" s="53"/>
      <c r="C130" s="53"/>
      <c r="D130" s="45"/>
      <c r="E130" s="34"/>
      <c r="F130" s="34"/>
      <c r="G130" s="22"/>
      <c r="H130" s="34"/>
      <c r="I130" s="45"/>
      <c r="J130" s="23"/>
      <c r="K130" s="22"/>
      <c r="L130" s="54"/>
      <c r="M130" s="22"/>
      <c r="N130" s="22"/>
      <c r="O130" s="22"/>
      <c r="P130" s="13"/>
    </row>
    <row r="131" spans="1:16" ht="12.75">
      <c r="A131" s="52"/>
      <c r="B131" s="53"/>
      <c r="C131" s="53"/>
      <c r="D131" s="45"/>
      <c r="E131" s="34"/>
      <c r="F131" s="34"/>
      <c r="G131" s="22"/>
      <c r="H131" s="34"/>
      <c r="I131" s="45"/>
      <c r="J131" s="23"/>
      <c r="K131" s="22"/>
      <c r="L131" s="54"/>
      <c r="M131" s="22"/>
      <c r="N131" s="22"/>
      <c r="O131" s="22"/>
      <c r="P131" s="13"/>
    </row>
    <row r="132" spans="1:16" ht="12.75">
      <c r="A132" s="52"/>
      <c r="B132" s="53"/>
      <c r="C132" s="53"/>
      <c r="D132" s="45"/>
      <c r="E132" s="34"/>
      <c r="F132" s="34"/>
      <c r="G132" s="22"/>
      <c r="H132" s="34"/>
      <c r="I132" s="45"/>
      <c r="J132" s="23"/>
      <c r="K132" s="22"/>
      <c r="L132" s="54"/>
      <c r="M132" s="22"/>
      <c r="N132" s="22"/>
      <c r="O132" s="22"/>
      <c r="P132" s="13"/>
    </row>
    <row r="133" spans="1:16" ht="12.75">
      <c r="A133" s="52"/>
      <c r="B133" s="53"/>
      <c r="C133" s="53"/>
      <c r="D133" s="45"/>
      <c r="E133" s="34"/>
      <c r="F133" s="34"/>
      <c r="G133" s="22"/>
      <c r="H133" s="34"/>
      <c r="I133" s="45"/>
      <c r="J133" s="23"/>
      <c r="K133" s="22"/>
      <c r="L133" s="54"/>
      <c r="M133" s="22"/>
      <c r="N133" s="22"/>
      <c r="O133" s="22"/>
      <c r="P133" s="13"/>
    </row>
    <row r="134" spans="1:16" ht="12.75">
      <c r="A134" s="52"/>
      <c r="B134" s="53"/>
      <c r="C134" s="53"/>
      <c r="D134" s="45"/>
      <c r="E134" s="34"/>
      <c r="F134" s="34"/>
      <c r="G134" s="22"/>
      <c r="H134" s="34"/>
      <c r="I134" s="45"/>
      <c r="J134" s="23"/>
      <c r="K134" s="22"/>
      <c r="L134" s="54"/>
      <c r="M134" s="22"/>
      <c r="N134" s="22"/>
      <c r="O134" s="22"/>
      <c r="P134" s="13"/>
    </row>
    <row r="135" spans="1:16" ht="12.75">
      <c r="A135" s="52"/>
      <c r="B135" s="53"/>
      <c r="C135" s="53"/>
      <c r="D135" s="45"/>
      <c r="E135" s="34"/>
      <c r="F135" s="34"/>
      <c r="G135" s="22"/>
      <c r="H135" s="34"/>
      <c r="I135" s="45"/>
      <c r="J135" s="23"/>
      <c r="K135" s="22"/>
      <c r="L135" s="54"/>
      <c r="M135" s="22"/>
      <c r="N135" s="22"/>
      <c r="O135" s="22"/>
      <c r="P135" s="13"/>
    </row>
    <row r="136" spans="1:16" ht="12.75">
      <c r="A136" s="52"/>
      <c r="B136" s="53"/>
      <c r="C136" s="53"/>
      <c r="D136" s="45"/>
      <c r="E136" s="34"/>
      <c r="F136" s="34"/>
      <c r="G136" s="22"/>
      <c r="H136" s="34"/>
      <c r="I136" s="45"/>
      <c r="J136" s="23"/>
      <c r="K136" s="22"/>
      <c r="L136" s="54"/>
      <c r="M136" s="22"/>
      <c r="N136" s="22"/>
      <c r="O136" s="22"/>
      <c r="P136" s="13"/>
    </row>
    <row r="137" spans="1:16" ht="12.75">
      <c r="A137" s="52"/>
      <c r="B137" s="53"/>
      <c r="C137" s="53"/>
      <c r="D137" s="45"/>
      <c r="E137" s="34"/>
      <c r="F137" s="34"/>
      <c r="G137" s="22"/>
      <c r="H137" s="34"/>
      <c r="I137" s="45"/>
      <c r="J137" s="23"/>
      <c r="K137" s="22"/>
      <c r="L137" s="54"/>
      <c r="M137" s="22"/>
      <c r="N137" s="22"/>
      <c r="O137" s="22"/>
      <c r="P137" s="13"/>
    </row>
    <row r="138" spans="1:16" ht="12.75">
      <c r="A138" s="52"/>
      <c r="B138" s="53"/>
      <c r="C138" s="53"/>
      <c r="D138" s="45"/>
      <c r="E138" s="34"/>
      <c r="F138" s="34"/>
      <c r="G138" s="22"/>
      <c r="H138" s="34"/>
      <c r="I138" s="45"/>
      <c r="J138" s="23"/>
      <c r="K138" s="22"/>
      <c r="L138" s="54"/>
      <c r="M138" s="22"/>
      <c r="N138" s="22"/>
      <c r="O138" s="22"/>
      <c r="P138" s="13"/>
    </row>
    <row r="139" spans="1:16" ht="12.75">
      <c r="A139" s="52"/>
      <c r="B139" s="53"/>
      <c r="C139" s="53"/>
      <c r="D139" s="45"/>
      <c r="E139" s="34"/>
      <c r="F139" s="34"/>
      <c r="G139" s="22"/>
      <c r="H139" s="34"/>
      <c r="I139" s="45"/>
      <c r="J139" s="23"/>
      <c r="K139" s="22"/>
      <c r="L139" s="54"/>
      <c r="M139" s="22"/>
      <c r="N139" s="22"/>
      <c r="O139" s="22"/>
      <c r="P139" s="13"/>
    </row>
    <row r="140" spans="1:16" ht="12.75">
      <c r="A140" s="52"/>
      <c r="B140" s="53"/>
      <c r="C140" s="53"/>
      <c r="D140" s="45"/>
      <c r="E140" s="34"/>
      <c r="F140" s="34"/>
      <c r="G140" s="22"/>
      <c r="H140" s="34"/>
      <c r="I140" s="45"/>
      <c r="J140" s="23"/>
      <c r="K140" s="22"/>
      <c r="L140" s="54"/>
      <c r="M140" s="22"/>
      <c r="N140" s="22"/>
      <c r="O140" s="22"/>
      <c r="P140" s="13"/>
    </row>
    <row r="141" spans="1:16" ht="12.75">
      <c r="A141" s="52"/>
      <c r="B141" s="53"/>
      <c r="C141" s="53"/>
      <c r="D141" s="45"/>
      <c r="E141" s="34"/>
      <c r="F141" s="34"/>
      <c r="G141" s="22"/>
      <c r="H141" s="34"/>
      <c r="I141" s="45"/>
      <c r="J141" s="23"/>
      <c r="K141" s="22"/>
      <c r="L141" s="54"/>
      <c r="M141" s="22"/>
      <c r="N141" s="22"/>
      <c r="O141" s="22"/>
      <c r="P141" s="13"/>
    </row>
    <row r="142" spans="1:16" ht="12.75">
      <c r="A142" s="52"/>
      <c r="B142" s="53"/>
      <c r="C142" s="53"/>
      <c r="D142" s="45"/>
      <c r="E142" s="34"/>
      <c r="F142" s="34"/>
      <c r="G142" s="22"/>
      <c r="H142" s="34"/>
      <c r="I142" s="45"/>
      <c r="J142" s="23"/>
      <c r="K142" s="22"/>
      <c r="L142" s="54"/>
      <c r="M142" s="22"/>
      <c r="N142" s="22"/>
      <c r="O142" s="22"/>
      <c r="P142" s="13"/>
    </row>
    <row r="143" spans="1:16" ht="12.75">
      <c r="A143" s="52"/>
      <c r="B143" s="53"/>
      <c r="C143" s="53"/>
      <c r="D143" s="45"/>
      <c r="E143" s="34"/>
      <c r="F143" s="34"/>
      <c r="G143" s="22"/>
      <c r="H143" s="34"/>
      <c r="I143" s="45"/>
      <c r="J143" s="23"/>
      <c r="K143" s="22"/>
      <c r="L143" s="54"/>
      <c r="M143" s="22"/>
      <c r="N143" s="22"/>
      <c r="O143" s="22"/>
      <c r="P143" s="13"/>
    </row>
    <row r="144" spans="1:16" ht="12.75">
      <c r="A144" s="52"/>
      <c r="B144" s="53"/>
      <c r="C144" s="53"/>
      <c r="D144" s="45"/>
      <c r="E144" s="34"/>
      <c r="F144" s="34"/>
      <c r="G144" s="22"/>
      <c r="H144" s="34"/>
      <c r="I144" s="45"/>
      <c r="J144" s="23"/>
      <c r="K144" s="22"/>
      <c r="L144" s="54"/>
      <c r="M144" s="22"/>
      <c r="N144" s="22"/>
      <c r="O144" s="22"/>
      <c r="P144" s="13"/>
    </row>
    <row r="145" spans="1:16" ht="12.75">
      <c r="A145" s="52"/>
      <c r="B145" s="53"/>
      <c r="C145" s="53"/>
      <c r="D145" s="45"/>
      <c r="E145" s="34"/>
      <c r="F145" s="34"/>
      <c r="G145" s="22"/>
      <c r="H145" s="34"/>
      <c r="I145" s="45"/>
      <c r="J145" s="23"/>
      <c r="K145" s="22"/>
      <c r="L145" s="54"/>
      <c r="M145" s="22"/>
      <c r="N145" s="22"/>
      <c r="O145" s="22"/>
      <c r="P145" s="13"/>
    </row>
    <row r="146" spans="1:16" ht="12.75">
      <c r="A146" s="52"/>
      <c r="B146" s="53"/>
      <c r="C146" s="53"/>
      <c r="D146" s="45"/>
      <c r="E146" s="34"/>
      <c r="F146" s="34"/>
      <c r="G146" s="22"/>
      <c r="H146" s="34"/>
      <c r="I146" s="45"/>
      <c r="J146" s="23"/>
      <c r="K146" s="22"/>
      <c r="L146" s="54"/>
      <c r="M146" s="22"/>
      <c r="N146" s="22"/>
      <c r="O146" s="22"/>
      <c r="P146" s="13"/>
    </row>
    <row r="147" spans="1:16" ht="18" customHeight="1">
      <c r="A147" s="52"/>
      <c r="B147" s="53"/>
      <c r="C147" s="53"/>
      <c r="D147" s="45"/>
      <c r="E147" s="34"/>
      <c r="F147" s="34"/>
      <c r="G147" s="22"/>
      <c r="H147" s="34"/>
      <c r="I147" s="45"/>
      <c r="J147" s="23"/>
      <c r="K147" s="22"/>
      <c r="L147" s="54"/>
      <c r="M147" s="22"/>
      <c r="N147" s="22"/>
      <c r="O147" s="22"/>
      <c r="P147" s="13"/>
    </row>
    <row r="148" spans="1:16" ht="12.75">
      <c r="A148" s="52"/>
      <c r="B148" s="53"/>
      <c r="C148" s="53"/>
      <c r="D148" s="45"/>
      <c r="E148" s="34"/>
      <c r="F148" s="34"/>
      <c r="G148" s="22"/>
      <c r="H148" s="34"/>
      <c r="I148" s="45"/>
      <c r="J148" s="23"/>
      <c r="K148" s="22"/>
      <c r="L148" s="54"/>
      <c r="M148" s="22"/>
      <c r="N148" s="22"/>
      <c r="O148" s="22"/>
      <c r="P148" s="18"/>
    </row>
    <row r="149" spans="1:16" ht="9" customHeight="1">
      <c r="A149" s="52"/>
      <c r="B149" s="53"/>
      <c r="C149" s="53"/>
      <c r="D149" s="45"/>
      <c r="E149" s="34"/>
      <c r="F149" s="34"/>
      <c r="G149" s="22"/>
      <c r="H149" s="34"/>
      <c r="I149" s="45"/>
      <c r="J149" s="23"/>
      <c r="K149" s="22"/>
      <c r="L149" s="54"/>
      <c r="M149" s="22"/>
      <c r="N149" s="22"/>
      <c r="O149" s="22"/>
      <c r="P149" s="18"/>
    </row>
    <row r="150" spans="1:16" ht="9" customHeight="1">
      <c r="A150" s="52"/>
      <c r="B150" s="53"/>
      <c r="C150" s="53"/>
      <c r="D150" s="45"/>
      <c r="E150" s="34"/>
      <c r="F150" s="34"/>
      <c r="G150" s="22"/>
      <c r="H150" s="34"/>
      <c r="I150" s="45"/>
      <c r="J150" s="23"/>
      <c r="K150" s="22"/>
      <c r="L150" s="54"/>
      <c r="M150" s="22"/>
      <c r="N150" s="22"/>
      <c r="O150" s="22"/>
      <c r="P150" s="18"/>
    </row>
    <row r="151" spans="1:16" ht="12.75">
      <c r="A151" s="52"/>
      <c r="B151" s="53"/>
      <c r="C151" s="53"/>
      <c r="D151" s="45"/>
      <c r="E151" s="34"/>
      <c r="F151" s="34"/>
      <c r="G151" s="22"/>
      <c r="H151" s="34"/>
      <c r="I151" s="45"/>
      <c r="J151" s="23"/>
      <c r="K151" s="22"/>
      <c r="L151" s="54"/>
      <c r="M151" s="22"/>
      <c r="N151" s="22"/>
      <c r="O151" s="22"/>
      <c r="P151" s="5"/>
    </row>
    <row r="152" spans="1:16" ht="9.75" customHeight="1">
      <c r="A152" s="52"/>
      <c r="B152" s="53"/>
      <c r="C152" s="53"/>
      <c r="D152" s="45"/>
      <c r="E152" s="34"/>
      <c r="F152" s="34"/>
      <c r="G152" s="22"/>
      <c r="H152" s="34"/>
      <c r="I152" s="45"/>
      <c r="J152" s="23"/>
      <c r="K152" s="22"/>
      <c r="L152" s="54"/>
      <c r="M152" s="22"/>
      <c r="N152" s="22"/>
      <c r="O152" s="22"/>
      <c r="P152" s="6"/>
    </row>
    <row r="153" spans="1:16" ht="9.75" customHeight="1">
      <c r="A153" s="52"/>
      <c r="B153" s="53"/>
      <c r="C153" s="53"/>
      <c r="D153" s="45"/>
      <c r="E153" s="34"/>
      <c r="F153" s="34"/>
      <c r="G153" s="22"/>
      <c r="H153" s="34"/>
      <c r="I153" s="45"/>
      <c r="J153" s="23"/>
      <c r="K153" s="22"/>
      <c r="L153" s="54"/>
      <c r="M153" s="22"/>
      <c r="N153" s="22"/>
      <c r="O153" s="22"/>
      <c r="P153" s="4"/>
    </row>
    <row r="154" spans="2:16" ht="12.75">
      <c r="B154" s="3"/>
      <c r="C154" s="3"/>
      <c r="D154" s="37"/>
      <c r="E154" s="3"/>
      <c r="F154" s="3"/>
      <c r="G154" s="4"/>
      <c r="H154" s="4"/>
      <c r="I154" s="1"/>
      <c r="J154" s="3"/>
      <c r="K154" s="10"/>
      <c r="M154" s="4"/>
      <c r="N154" s="1"/>
      <c r="O154" s="3"/>
      <c r="P154" s="3"/>
    </row>
    <row r="155" ht="12.75">
      <c r="D155" s="38"/>
    </row>
    <row r="156" ht="12.75">
      <c r="D156" s="38"/>
    </row>
    <row r="157" spans="4:9" ht="12.75">
      <c r="D157" s="38"/>
      <c r="F157" s="17"/>
      <c r="G157" s="16"/>
      <c r="H157" s="16"/>
      <c r="I157" s="17"/>
    </row>
    <row r="158" ht="12.75">
      <c r="D158" s="38"/>
    </row>
    <row r="159" ht="12.75">
      <c r="D159" s="38"/>
    </row>
    <row r="160" ht="12.75">
      <c r="D160" s="16"/>
    </row>
    <row r="161" ht="12.75">
      <c r="D161" s="38"/>
    </row>
    <row r="162" ht="12.75">
      <c r="D162" s="40"/>
    </row>
    <row r="163" ht="12.75">
      <c r="D163" s="39"/>
    </row>
    <row r="164" ht="12.75">
      <c r="D164" s="39"/>
    </row>
  </sheetData>
  <sheetProtection/>
  <mergeCells count="8">
    <mergeCell ref="M87:O87"/>
    <mergeCell ref="B1:O1"/>
    <mergeCell ref="B2:O2"/>
    <mergeCell ref="B3:O3"/>
    <mergeCell ref="D5:G5"/>
    <mergeCell ref="H5:K5"/>
    <mergeCell ref="L5:O5"/>
    <mergeCell ref="B5:C6"/>
  </mergeCells>
  <printOptions verticalCentered="1"/>
  <pageMargins left="0.25" right="0.25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Asus</cp:lastModifiedBy>
  <cp:lastPrinted>2020-07-03T02:46:06Z</cp:lastPrinted>
  <dcterms:created xsi:type="dcterms:W3CDTF">2010-12-14T13:05:54Z</dcterms:created>
  <dcterms:modified xsi:type="dcterms:W3CDTF">2020-07-03T03:20:20Z</dcterms:modified>
  <cp:category/>
  <cp:version/>
  <cp:contentType/>
  <cp:contentStatus/>
</cp:coreProperties>
</file>